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FF8B2919-0525-4257-B3A8-F0526EAB8387}" xr6:coauthVersionLast="45" xr6:coauthVersionMax="45" xr10:uidLastSave="{00000000-0000-0000-0000-000000000000}"/>
  <bookViews>
    <workbookView xWindow="312" yWindow="312" windowWidth="21576" windowHeight="12480" tabRatio="791" firstSheet="6" activeTab="14"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3"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 localSheetId="12">[1]Index_SATIM!$C$7</definedName>
    <definedName name="AGR">Index_SATIM!$C$7</definedName>
    <definedName name="COM" localSheetId="12">[1]Index_SATIM!$C$8</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 localSheetId="12">[1]Index_SATIM!$C$9</definedName>
    <definedName name="IND">Index_SATIM!$C$9</definedName>
    <definedName name="MC_Switch">Index_SATIM!$C$3</definedName>
    <definedName name="Pal_Workbook_GUID" hidden="1">"JGWG76XASHMY4J7EVNW4KA69"</definedName>
    <definedName name="RES" localSheetId="12">[1]Index_SATIM!$C$10</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 localSheetId="12">[1]Index_SATIM!$C$11</definedName>
    <definedName name="TRA">Index_SATIM!$C$11</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78" i="32" l="1"/>
  <c r="E76" i="32" l="1"/>
  <c r="E75" i="32"/>
  <c r="P85" i="32"/>
  <c r="Q85" i="32" s="1"/>
  <c r="P84" i="32"/>
  <c r="Q84" i="32" s="1"/>
  <c r="K84" i="32"/>
  <c r="L84" i="32"/>
  <c r="M84" i="32"/>
  <c r="N84" i="32"/>
  <c r="O84" i="32"/>
  <c r="K85" i="32"/>
  <c r="L85" i="32"/>
  <c r="M85" i="32"/>
  <c r="N85" i="32"/>
  <c r="O85" i="32"/>
  <c r="J84" i="32"/>
  <c r="J85" i="32"/>
  <c r="P92" i="32"/>
  <c r="R85" i="32" l="1"/>
  <c r="R84" i="32"/>
  <c r="P117" i="32"/>
  <c r="S85" i="32" l="1"/>
  <c r="S84" i="32"/>
  <c r="L57" i="53"/>
  <c r="T84" i="32" l="1"/>
  <c r="T85" i="32"/>
  <c r="I91" i="53"/>
  <c r="H91" i="53"/>
  <c r="H69" i="53"/>
  <c r="Q14" i="53"/>
  <c r="R14" i="53"/>
  <c r="S14" i="53"/>
  <c r="T14" i="53"/>
  <c r="P14" i="53"/>
  <c r="U85" i="32" l="1"/>
  <c r="U84" i="32"/>
  <c r="E44" i="29"/>
  <c r="V84" i="32" l="1"/>
  <c r="V85" i="32"/>
  <c r="E129" i="56"/>
  <c r="F108" i="56"/>
  <c r="F197" i="57"/>
  <c r="K197" i="57"/>
  <c r="AN196" i="57"/>
  <c r="AO196" i="57"/>
  <c r="W85" i="32" l="1"/>
  <c r="W84" i="32"/>
  <c r="C34" i="44"/>
  <c r="AF28" i="44"/>
  <c r="AG28" i="44"/>
  <c r="AF29" i="44"/>
  <c r="AF30" i="44" s="1"/>
  <c r="AG29" i="44"/>
  <c r="AG30" i="44" s="1"/>
  <c r="C29" i="44"/>
  <c r="C28" i="44"/>
  <c r="X84" i="32" l="1"/>
  <c r="X85" i="32"/>
  <c r="C30" i="44"/>
  <c r="AF27" i="44"/>
  <c r="AG27" i="44"/>
  <c r="C27" i="44"/>
  <c r="Y85" i="32" l="1"/>
  <c r="Y84" i="32"/>
  <c r="AF34" i="44"/>
  <c r="AG34" i="44"/>
  <c r="AG35" i="44" s="1"/>
  <c r="Z84" i="32" l="1"/>
  <c r="Z85" i="32"/>
  <c r="P28" i="55"/>
  <c r="Q28" i="55"/>
  <c r="R28" i="55"/>
  <c r="AF7" i="44"/>
  <c r="AG7" i="44"/>
  <c r="AF8" i="44"/>
  <c r="AG8" i="44"/>
  <c r="AF9" i="44"/>
  <c r="AG9" i="44"/>
  <c r="AF10" i="44"/>
  <c r="AG10" i="44"/>
  <c r="AF11" i="44"/>
  <c r="AG11" i="44"/>
  <c r="AF12" i="44"/>
  <c r="AG12" i="44"/>
  <c r="AF13" i="44"/>
  <c r="AG13" i="44"/>
  <c r="AF14" i="44"/>
  <c r="AG14" i="44"/>
  <c r="AF15" i="44"/>
  <c r="AG15" i="44"/>
  <c r="AF16" i="44"/>
  <c r="AG16" i="44"/>
  <c r="AF17" i="44"/>
  <c r="AG17" i="44"/>
  <c r="AF18" i="44"/>
  <c r="AG18" i="44"/>
  <c r="AF19" i="44"/>
  <c r="AG19" i="44"/>
  <c r="AF20" i="44"/>
  <c r="AG20" i="44"/>
  <c r="AF21" i="44"/>
  <c r="AG21" i="44"/>
  <c r="AF22" i="44"/>
  <c r="AG22" i="44"/>
  <c r="AF23" i="44"/>
  <c r="AG23" i="44"/>
  <c r="AF24" i="44"/>
  <c r="AG24" i="44"/>
  <c r="C8" i="44"/>
  <c r="C9" i="44"/>
  <c r="C10" i="44"/>
  <c r="C11" i="44"/>
  <c r="C12" i="44"/>
  <c r="C13" i="44"/>
  <c r="C14" i="44"/>
  <c r="C15" i="44"/>
  <c r="C16" i="44"/>
  <c r="C17" i="44"/>
  <c r="C18" i="44"/>
  <c r="C19" i="44"/>
  <c r="C20" i="44"/>
  <c r="C21" i="44"/>
  <c r="C22" i="44"/>
  <c r="C23" i="44"/>
  <c r="C24" i="44"/>
  <c r="C7" i="44"/>
  <c r="AA85" i="32" l="1"/>
  <c r="AA84" i="32"/>
  <c r="AG25" i="44"/>
  <c r="AF25" i="44"/>
  <c r="C25" i="44"/>
  <c r="C8" i="46"/>
  <c r="C10" i="46"/>
  <c r="C9" i="46"/>
  <c r="E11" i="57"/>
  <c r="D3" i="57"/>
  <c r="D4" i="57" s="1"/>
  <c r="F3" i="56"/>
  <c r="D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J211" i="57"/>
  <c r="AP210" i="57"/>
  <c r="AO210" i="57"/>
  <c r="AN210" i="57"/>
  <c r="AM210" i="57"/>
  <c r="D210" i="57"/>
  <c r="AQ197" i="57" s="1"/>
  <c r="K209" i="57"/>
  <c r="L209" i="57" s="1"/>
  <c r="L210" i="57" s="1"/>
  <c r="J207" i="57"/>
  <c r="I207" i="57"/>
  <c r="H207" i="57"/>
  <c r="G207" i="57"/>
  <c r="E207" i="57"/>
  <c r="C207" i="57"/>
  <c r="B207" i="57"/>
  <c r="J206" i="57"/>
  <c r="I206" i="57"/>
  <c r="H206" i="57"/>
  <c r="G206" i="57"/>
  <c r="E206" i="57"/>
  <c r="C206" i="57"/>
  <c r="B206" i="57"/>
  <c r="J205" i="57"/>
  <c r="I205" i="57"/>
  <c r="H205" i="57"/>
  <c r="G205" i="57"/>
  <c r="E205" i="57"/>
  <c r="C205" i="57"/>
  <c r="B205" i="57"/>
  <c r="J204" i="57"/>
  <c r="I204" i="57"/>
  <c r="H204" i="57"/>
  <c r="G204" i="57"/>
  <c r="E204" i="57"/>
  <c r="C204" i="57"/>
  <c r="B204" i="57"/>
  <c r="J203" i="57"/>
  <c r="I203" i="57"/>
  <c r="H203" i="57"/>
  <c r="G203" i="57"/>
  <c r="E203" i="57"/>
  <c r="C203" i="57"/>
  <c r="B203" i="57"/>
  <c r="J202" i="57"/>
  <c r="I202" i="57"/>
  <c r="H202" i="57"/>
  <c r="G202" i="57"/>
  <c r="E202" i="57"/>
  <c r="C202" i="57"/>
  <c r="B202" i="57"/>
  <c r="J201" i="57"/>
  <c r="I201" i="57"/>
  <c r="H201" i="57"/>
  <c r="G201" i="57"/>
  <c r="E201" i="57"/>
  <c r="C201" i="57"/>
  <c r="B201" i="57"/>
  <c r="J200" i="57"/>
  <c r="I200" i="57"/>
  <c r="H200" i="57"/>
  <c r="G200" i="57"/>
  <c r="E200" i="57"/>
  <c r="C200" i="57"/>
  <c r="B200" i="57"/>
  <c r="BH197" i="57"/>
  <c r="AP197" i="57"/>
  <c r="J197" i="57"/>
  <c r="I197" i="57"/>
  <c r="H197" i="57"/>
  <c r="G197" i="57"/>
  <c r="E197" i="57"/>
  <c r="D197" i="57"/>
  <c r="AQ196" i="57"/>
  <c r="AP196" i="57"/>
  <c r="L195" i="57"/>
  <c r="M195" i="57" s="1"/>
  <c r="N195" i="57" s="1"/>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C193" i="57"/>
  <c r="B193" i="57"/>
  <c r="D221" i="57" s="1"/>
  <c r="J221" i="57" s="1"/>
  <c r="C192" i="57"/>
  <c r="B192" i="57"/>
  <c r="D220" i="57" s="1"/>
  <c r="J220" i="57" s="1"/>
  <c r="C191" i="57"/>
  <c r="B191" i="57"/>
  <c r="D219" i="57" s="1"/>
  <c r="J219" i="57" s="1"/>
  <c r="G190" i="57"/>
  <c r="F190" i="57"/>
  <c r="C190" i="57"/>
  <c r="B190" i="57"/>
  <c r="D218" i="57" s="1"/>
  <c r="J218" i="57" s="1"/>
  <c r="G189" i="57"/>
  <c r="F189" i="57"/>
  <c r="E189" i="57"/>
  <c r="L189" i="57" s="1"/>
  <c r="C189" i="57"/>
  <c r="B189" i="57"/>
  <c r="D217" i="57" s="1"/>
  <c r="J217" i="57" s="1"/>
  <c r="C188" i="57"/>
  <c r="B188" i="57"/>
  <c r="D216" i="57" s="1"/>
  <c r="C187" i="57"/>
  <c r="B187" i="57"/>
  <c r="D215" i="57" s="1"/>
  <c r="C186" i="57"/>
  <c r="B186" i="57"/>
  <c r="D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K207" i="57" s="1"/>
  <c r="C178" i="57"/>
  <c r="B178" i="57"/>
  <c r="D206" i="57" s="1"/>
  <c r="K206" i="57" s="1"/>
  <c r="C177" i="57"/>
  <c r="B177" i="57"/>
  <c r="D205" i="57" s="1"/>
  <c r="K205" i="57" s="1"/>
  <c r="C176" i="57"/>
  <c r="B176" i="57"/>
  <c r="D204" i="57" s="1"/>
  <c r="K204" i="57" s="1"/>
  <c r="C175" i="57"/>
  <c r="B175" i="57"/>
  <c r="D203" i="57" s="1"/>
  <c r="K203" i="57" s="1"/>
  <c r="C174" i="57"/>
  <c r="B174" i="57"/>
  <c r="D202" i="57" s="1"/>
  <c r="C173" i="57"/>
  <c r="B173" i="57"/>
  <c r="D201" i="57" s="1"/>
  <c r="C172" i="57"/>
  <c r="L172" i="57" s="1"/>
  <c r="B172" i="57"/>
  <c r="D200" i="57" s="1"/>
  <c r="Q171" i="57"/>
  <c r="W171" i="57" s="1"/>
  <c r="O171" i="57"/>
  <c r="U171" i="57" s="1"/>
  <c r="N171" i="57"/>
  <c r="T171" i="57" s="1"/>
  <c r="G171" i="57"/>
  <c r="F171" i="57"/>
  <c r="M171" i="57" s="1"/>
  <c r="S171" i="57" s="1"/>
  <c r="L168" i="57"/>
  <c r="L167" i="57"/>
  <c r="D167" i="57"/>
  <c r="L166" i="57"/>
  <c r="L165" i="57"/>
  <c r="L164" i="57"/>
  <c r="L163" i="57"/>
  <c r="L162" i="57"/>
  <c r="L161" i="57"/>
  <c r="Q160" i="57"/>
  <c r="W160" i="57" s="1"/>
  <c r="O160" i="57"/>
  <c r="U160" i="57" s="1"/>
  <c r="N160" i="57"/>
  <c r="T160" i="57" s="1"/>
  <c r="G160" i="57"/>
  <c r="F160" i="57"/>
  <c r="M160" i="57" s="1"/>
  <c r="S160" i="57" s="1"/>
  <c r="L156" i="57"/>
  <c r="L155" i="57"/>
  <c r="D155" i="57"/>
  <c r="L154" i="57"/>
  <c r="L153" i="57"/>
  <c r="L152" i="57"/>
  <c r="L151" i="57"/>
  <c r="L150" i="57"/>
  <c r="L149" i="57"/>
  <c r="G148" i="57"/>
  <c r="F148" i="57"/>
  <c r="S147" i="57"/>
  <c r="M147" i="57"/>
  <c r="E143" i="57"/>
  <c r="F143" i="57" s="1"/>
  <c r="E142" i="57"/>
  <c r="E164" i="57" s="1"/>
  <c r="E139" i="57"/>
  <c r="E138" i="57"/>
  <c r="F138" i="57" s="1"/>
  <c r="E137" i="57"/>
  <c r="F137" i="57" s="1"/>
  <c r="G137" i="57" s="1"/>
  <c r="E134" i="57"/>
  <c r="W133" i="57"/>
  <c r="E133" i="57"/>
  <c r="E132" i="57"/>
  <c r="C121" i="57"/>
  <c r="C125" i="57" s="1"/>
  <c r="C129" i="57" s="1"/>
  <c r="C120" i="57"/>
  <c r="C124" i="57" s="1"/>
  <c r="C128" i="57" s="1"/>
  <c r="C119" i="57"/>
  <c r="C123" i="57" s="1"/>
  <c r="C127" i="57" s="1"/>
  <c r="C110" i="57"/>
  <c r="T104" i="57"/>
  <c r="N104" i="57"/>
  <c r="E104" i="57"/>
  <c r="W103" i="57"/>
  <c r="W104" i="57" s="1"/>
  <c r="V103" i="57"/>
  <c r="V104" i="57" s="1"/>
  <c r="U103" i="57"/>
  <c r="U104" i="57" s="1"/>
  <c r="O103" i="57"/>
  <c r="P103" i="57" s="1"/>
  <c r="F103" i="57"/>
  <c r="G103" i="57" s="1"/>
  <c r="F102" i="57"/>
  <c r="T100" i="57"/>
  <c r="N100" i="57"/>
  <c r="E100" i="57"/>
  <c r="C100" i="57"/>
  <c r="C104" i="57" s="1"/>
  <c r="W99" i="57"/>
  <c r="W100" i="57" s="1"/>
  <c r="V99" i="57"/>
  <c r="V100" i="57" s="1"/>
  <c r="U99" i="57"/>
  <c r="O99" i="57"/>
  <c r="P99" i="57" s="1"/>
  <c r="Q99" i="57" s="1"/>
  <c r="Q100" i="57" s="1"/>
  <c r="F99" i="57"/>
  <c r="C99" i="57"/>
  <c r="C103" i="57" s="1"/>
  <c r="U98" i="57"/>
  <c r="F98" i="57"/>
  <c r="S98" i="57" s="1"/>
  <c r="C98" i="57"/>
  <c r="C102" i="57" s="1"/>
  <c r="W96" i="57"/>
  <c r="V96" i="57"/>
  <c r="T96" i="57"/>
  <c r="Q96" i="57"/>
  <c r="P96" i="57"/>
  <c r="O96" i="57"/>
  <c r="N96" i="57"/>
  <c r="E96" i="57"/>
  <c r="F95" i="57"/>
  <c r="S95" i="57" s="1"/>
  <c r="U94" i="57"/>
  <c r="U96" i="57" s="1"/>
  <c r="F94" i="57"/>
  <c r="O89" i="57"/>
  <c r="P89" i="57" s="1"/>
  <c r="Q89" i="57" s="1"/>
  <c r="F89" i="57"/>
  <c r="S89" i="57" s="1"/>
  <c r="F88" i="57"/>
  <c r="M88" i="57" s="1"/>
  <c r="C85" i="57"/>
  <c r="C90" i="57" s="1"/>
  <c r="O84" i="57"/>
  <c r="P84" i="57" s="1"/>
  <c r="Q84" i="57" s="1"/>
  <c r="F84" i="57"/>
  <c r="G84" i="57" s="1"/>
  <c r="C84" i="57"/>
  <c r="C89" i="57" s="1"/>
  <c r="F83" i="57"/>
  <c r="S83" i="57" s="1"/>
  <c r="C83" i="57"/>
  <c r="C88" i="57" s="1"/>
  <c r="C82" i="57"/>
  <c r="C87" i="57" s="1"/>
  <c r="F79" i="57"/>
  <c r="M79" i="57" s="1"/>
  <c r="F78" i="57"/>
  <c r="M78" i="57" s="1"/>
  <c r="E77" i="57"/>
  <c r="E80" i="57" s="1"/>
  <c r="E73" i="57"/>
  <c r="F73" i="57" s="1"/>
  <c r="E70" i="57"/>
  <c r="E68" i="57" s="1"/>
  <c r="F68" i="57" s="1"/>
  <c r="E67" i="57"/>
  <c r="F67" i="57" s="1"/>
  <c r="E64" i="57"/>
  <c r="F64" i="57" s="1"/>
  <c r="W53" i="57"/>
  <c r="W76" i="57" s="1"/>
  <c r="V53" i="57"/>
  <c r="V76" i="57" s="1"/>
  <c r="U53" i="57"/>
  <c r="U76" i="57" s="1"/>
  <c r="T53" i="57"/>
  <c r="T76" i="57" s="1"/>
  <c r="Q53" i="57"/>
  <c r="Q76" i="57" s="1"/>
  <c r="P53" i="57"/>
  <c r="P76" i="57" s="1"/>
  <c r="O53" i="57"/>
  <c r="O76" i="57" s="1"/>
  <c r="N53" i="57"/>
  <c r="N76" i="57" s="1"/>
  <c r="G53" i="57"/>
  <c r="E49" i="57"/>
  <c r="E57" i="57" s="1"/>
  <c r="F48" i="57"/>
  <c r="W46" i="57"/>
  <c r="V46" i="57"/>
  <c r="U46" i="57"/>
  <c r="T46" i="57"/>
  <c r="S46" i="57"/>
  <c r="Q46" i="57"/>
  <c r="P46" i="57"/>
  <c r="O46" i="57"/>
  <c r="N46" i="57"/>
  <c r="M46" i="57"/>
  <c r="E44" i="57"/>
  <c r="M44" i="57" s="1"/>
  <c r="E43" i="57"/>
  <c r="E42" i="57"/>
  <c r="M42" i="57" s="1"/>
  <c r="E41" i="57"/>
  <c r="M41" i="57" s="1"/>
  <c r="W40" i="57"/>
  <c r="V40" i="57"/>
  <c r="U40" i="57"/>
  <c r="T40" i="57"/>
  <c r="Q40" i="57"/>
  <c r="P40" i="57"/>
  <c r="O40" i="57"/>
  <c r="N40" i="57"/>
  <c r="G40" i="57"/>
  <c r="F40" i="57"/>
  <c r="E38" i="57"/>
  <c r="M38" i="57" s="1"/>
  <c r="S38" i="57" s="1"/>
  <c r="T38" i="57" s="1"/>
  <c r="U38" i="57" s="1"/>
  <c r="V38" i="57" s="1"/>
  <c r="W38" i="57" s="1"/>
  <c r="E37" i="57"/>
  <c r="M37" i="57" s="1"/>
  <c r="E36" i="57"/>
  <c r="E35" i="57"/>
  <c r="M35" i="57" s="1"/>
  <c r="N35" i="57" s="1"/>
  <c r="W34" i="57"/>
  <c r="V34" i="57"/>
  <c r="U34" i="57"/>
  <c r="T34" i="57"/>
  <c r="Q34" i="57"/>
  <c r="P34" i="57"/>
  <c r="O34" i="57"/>
  <c r="N34" i="57"/>
  <c r="G34" i="57"/>
  <c r="F34" i="57"/>
  <c r="S34" i="57" s="1"/>
  <c r="E32" i="57"/>
  <c r="M32" i="57" s="1"/>
  <c r="E31" i="57"/>
  <c r="M31" i="57" s="1"/>
  <c r="N31" i="57" s="1"/>
  <c r="E30" i="57"/>
  <c r="M30" i="57" s="1"/>
  <c r="S30" i="57" s="1"/>
  <c r="T30" i="57" s="1"/>
  <c r="W29" i="57"/>
  <c r="V29" i="57"/>
  <c r="U29" i="57"/>
  <c r="T29" i="57"/>
  <c r="Q29" i="57"/>
  <c r="P29" i="57"/>
  <c r="O29" i="57"/>
  <c r="N29" i="57"/>
  <c r="G29" i="57"/>
  <c r="F29" i="57"/>
  <c r="S29" i="57" s="1"/>
  <c r="E27" i="57"/>
  <c r="M27" i="57" s="1"/>
  <c r="C27" i="57"/>
  <c r="C32" i="57" s="1"/>
  <c r="C37" i="57" s="1"/>
  <c r="C43" i="57" s="1"/>
  <c r="E26" i="57"/>
  <c r="C26" i="57"/>
  <c r="C31" i="57" s="1"/>
  <c r="E25" i="57"/>
  <c r="C25" i="57"/>
  <c r="C30" i="57" s="1"/>
  <c r="C54" i="57" s="1"/>
  <c r="C107" i="57" s="1"/>
  <c r="W24" i="57"/>
  <c r="V24" i="57"/>
  <c r="U24" i="57"/>
  <c r="T24" i="57"/>
  <c r="Q24" i="57"/>
  <c r="P24" i="57"/>
  <c r="O24" i="57"/>
  <c r="N24" i="57"/>
  <c r="G24" i="57"/>
  <c r="F24" i="57"/>
  <c r="M24" i="57" s="1"/>
  <c r="O21" i="57"/>
  <c r="P21" i="57" s="1"/>
  <c r="G18" i="57"/>
  <c r="F12" i="57"/>
  <c r="F53"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D129" i="56"/>
  <c r="C129"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K128" i="56"/>
  <c r="J128" i="56"/>
  <c r="J123" i="56"/>
  <c r="I123" i="56"/>
  <c r="H123" i="56"/>
  <c r="G123" i="56"/>
  <c r="E123" i="56"/>
  <c r="C123" i="56"/>
  <c r="B123" i="56"/>
  <c r="J122" i="56"/>
  <c r="I122" i="56"/>
  <c r="H122" i="56"/>
  <c r="G122" i="56"/>
  <c r="E122" i="56"/>
  <c r="C122" i="56"/>
  <c r="B122" i="56"/>
  <c r="J121" i="56"/>
  <c r="I121" i="56"/>
  <c r="H121" i="56"/>
  <c r="G121" i="56"/>
  <c r="E121" i="56"/>
  <c r="C121" i="56"/>
  <c r="B121" i="56"/>
  <c r="J120" i="56"/>
  <c r="I120" i="56"/>
  <c r="H120" i="56"/>
  <c r="G120" i="56"/>
  <c r="E120" i="56"/>
  <c r="C120" i="56"/>
  <c r="B120" i="56"/>
  <c r="J119" i="56"/>
  <c r="I119" i="56"/>
  <c r="H119" i="56"/>
  <c r="G119" i="56"/>
  <c r="E119" i="56"/>
  <c r="C119" i="56"/>
  <c r="B119" i="56"/>
  <c r="J118" i="56"/>
  <c r="I118" i="56"/>
  <c r="H118" i="56"/>
  <c r="G118" i="56"/>
  <c r="E118" i="56"/>
  <c r="C118" i="56"/>
  <c r="B118" i="56"/>
  <c r="J117" i="56"/>
  <c r="I117" i="56"/>
  <c r="H117" i="56"/>
  <c r="G117" i="56"/>
  <c r="E117" i="56"/>
  <c r="C117" i="56"/>
  <c r="B117" i="56"/>
  <c r="J116" i="56"/>
  <c r="I116" i="56"/>
  <c r="H116" i="56"/>
  <c r="G116" i="56"/>
  <c r="E116" i="56"/>
  <c r="C116" i="56"/>
  <c r="B116" i="56"/>
  <c r="J115" i="56"/>
  <c r="I115" i="56"/>
  <c r="H115" i="56"/>
  <c r="G115" i="56"/>
  <c r="E115" i="56"/>
  <c r="C115" i="56"/>
  <c r="B115" i="56"/>
  <c r="J114" i="56"/>
  <c r="I114" i="56"/>
  <c r="H114" i="56"/>
  <c r="G114" i="56"/>
  <c r="E114" i="56"/>
  <c r="C114" i="56"/>
  <c r="B114" i="56"/>
  <c r="J113" i="56"/>
  <c r="I113" i="56"/>
  <c r="H113" i="56"/>
  <c r="G113" i="56"/>
  <c r="E113" i="56"/>
  <c r="C113" i="56"/>
  <c r="B113" i="56"/>
  <c r="J112" i="56"/>
  <c r="I112" i="56"/>
  <c r="H112" i="56"/>
  <c r="G112" i="56"/>
  <c r="E112" i="56"/>
  <c r="C112" i="56"/>
  <c r="B112" i="56"/>
  <c r="J111" i="56"/>
  <c r="I111" i="56"/>
  <c r="H111" i="56"/>
  <c r="G111" i="56"/>
  <c r="E111" i="56"/>
  <c r="C111" i="56"/>
  <c r="B111" i="56"/>
  <c r="AY108" i="56"/>
  <c r="AX108" i="56"/>
  <c r="K108" i="56"/>
  <c r="I108" i="56"/>
  <c r="H108" i="56"/>
  <c r="G108" i="56"/>
  <c r="E108" i="56"/>
  <c r="D108" i="56"/>
  <c r="AY109" i="56" s="1"/>
  <c r="AY107" i="56"/>
  <c r="AX107" i="56"/>
  <c r="K107" i="56"/>
  <c r="L106" i="56"/>
  <c r="M106" i="56" s="1"/>
  <c r="F104" i="56"/>
  <c r="B104" i="56"/>
  <c r="B88" i="56" s="1"/>
  <c r="J183" i="56" s="1"/>
  <c r="F103" i="56"/>
  <c r="F47" i="56" s="1"/>
  <c r="B103" i="56"/>
  <c r="B87" i="56" s="1"/>
  <c r="J182" i="56" s="1"/>
  <c r="F102" i="56"/>
  <c r="F59"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X91" i="56"/>
  <c r="W91" i="56"/>
  <c r="V91" i="56"/>
  <c r="U91" i="56"/>
  <c r="T91" i="56"/>
  <c r="L91" i="56"/>
  <c r="K91" i="56"/>
  <c r="J91" i="56"/>
  <c r="I91" i="56"/>
  <c r="H91" i="56"/>
  <c r="G91" i="56"/>
  <c r="F91" i="56"/>
  <c r="F86" i="56"/>
  <c r="S75" i="56"/>
  <c r="R75" i="56"/>
  <c r="Q75" i="56"/>
  <c r="AD75" i="56" s="1"/>
  <c r="P75" i="56"/>
  <c r="V75" i="56" s="1"/>
  <c r="AI75" i="56" s="1"/>
  <c r="O75" i="56"/>
  <c r="N75" i="56"/>
  <c r="AA75" i="56" s="1"/>
  <c r="L75" i="56"/>
  <c r="K75" i="56"/>
  <c r="J75" i="56"/>
  <c r="I75" i="56"/>
  <c r="H75" i="56"/>
  <c r="G75" i="56"/>
  <c r="F75" i="56"/>
  <c r="AA74" i="56"/>
  <c r="F72" i="56"/>
  <c r="G72" i="56" s="1"/>
  <c r="F71" i="56"/>
  <c r="F57" i="56" s="1"/>
  <c r="F70" i="56"/>
  <c r="F56" i="56" s="1"/>
  <c r="F69" i="56"/>
  <c r="G69" i="56" s="1"/>
  <c r="F68" i="56"/>
  <c r="G68" i="56" s="1"/>
  <c r="F67" i="56"/>
  <c r="G67" i="56" s="1"/>
  <c r="T67" i="56" s="1"/>
  <c r="U67" i="56" s="1"/>
  <c r="V67" i="56" s="1"/>
  <c r="W67" i="56" s="1"/>
  <c r="F66" i="56"/>
  <c r="F65" i="56"/>
  <c r="F64" i="56"/>
  <c r="F63" i="56"/>
  <c r="F14" i="56"/>
  <c r="F15" i="56" s="1"/>
  <c r="F16" i="56" s="1"/>
  <c r="G13" i="56"/>
  <c r="X13" i="56" s="1"/>
  <c r="R12" i="56"/>
  <c r="X12" i="56" s="1"/>
  <c r="Q12" i="56"/>
  <c r="W12" i="56" s="1"/>
  <c r="P12" i="56"/>
  <c r="V12" i="56" s="1"/>
  <c r="O12" i="56"/>
  <c r="U12" i="56" s="1"/>
  <c r="N12" i="56"/>
  <c r="T12" i="56" s="1"/>
  <c r="L12" i="56"/>
  <c r="K12" i="56"/>
  <c r="J12" i="56"/>
  <c r="I12" i="56"/>
  <c r="H12" i="56"/>
  <c r="G12" i="56"/>
  <c r="F12" i="56"/>
  <c r="X4" i="56"/>
  <c r="W4" i="56"/>
  <c r="V4" i="56"/>
  <c r="U4" i="56"/>
  <c r="T4" i="56"/>
  <c r="A1" i="56"/>
  <c r="J9" i="55"/>
  <c r="AB84" i="32" l="1"/>
  <c r="AB85" i="32"/>
  <c r="O104" i="57"/>
  <c r="AX109" i="56"/>
  <c r="AX110" i="56" s="1"/>
  <c r="G15" i="56"/>
  <c r="X15" i="56" s="1"/>
  <c r="AC75" i="56"/>
  <c r="N13" i="56"/>
  <c r="L107" i="56"/>
  <c r="P13" i="56"/>
  <c r="F17" i="56"/>
  <c r="G16" i="56"/>
  <c r="N15" i="56"/>
  <c r="T75" i="56"/>
  <c r="AG75" i="56" s="1"/>
  <c r="O15" i="56"/>
  <c r="U15" i="56"/>
  <c r="L109" i="56"/>
  <c r="AE130" i="56"/>
  <c r="AE131" i="56" s="1"/>
  <c r="O13" i="56"/>
  <c r="S130" i="56"/>
  <c r="S131" i="56" s="1"/>
  <c r="Q13" i="56"/>
  <c r="T130" i="56"/>
  <c r="AA168" i="56"/>
  <c r="AA169" i="56" s="1"/>
  <c r="T13" i="56"/>
  <c r="L108" i="56"/>
  <c r="U130" i="56"/>
  <c r="AH168" i="56"/>
  <c r="AH169" i="56" s="1"/>
  <c r="W13" i="56"/>
  <c r="X130" i="56"/>
  <c r="X131" i="56" s="1"/>
  <c r="AM168" i="56"/>
  <c r="AM169" i="56" s="1"/>
  <c r="AB130" i="56"/>
  <c r="AB131" i="56" s="1"/>
  <c r="AY110" i="56"/>
  <c r="M89" i="57"/>
  <c r="J224" i="57"/>
  <c r="J245" i="57" s="1"/>
  <c r="M224" i="57"/>
  <c r="M29" i="57"/>
  <c r="S84" i="57"/>
  <c r="AP211" i="57"/>
  <c r="E211" i="57"/>
  <c r="M84" i="57"/>
  <c r="G95" i="57"/>
  <c r="U100" i="57"/>
  <c r="BH196" i="57"/>
  <c r="E244" i="57"/>
  <c r="L244" i="57" s="1"/>
  <c r="F224" i="57"/>
  <c r="F245" i="57" s="1"/>
  <c r="AO211" i="57"/>
  <c r="G224" i="57"/>
  <c r="G245" i="57" s="1"/>
  <c r="H224" i="57"/>
  <c r="H245" i="57" s="1"/>
  <c r="I224" i="57"/>
  <c r="I245" i="57" s="1"/>
  <c r="G89" i="57"/>
  <c r="M134" i="57"/>
  <c r="N134" i="57" s="1"/>
  <c r="S24" i="57"/>
  <c r="C35" i="57"/>
  <c r="C41" i="57" s="1"/>
  <c r="K196" i="57"/>
  <c r="AN197" i="57"/>
  <c r="AO197" i="57"/>
  <c r="K210" i="57"/>
  <c r="L197" i="57"/>
  <c r="L196" i="57"/>
  <c r="K211" i="57"/>
  <c r="M34" i="57"/>
  <c r="G79" i="57"/>
  <c r="BE245" i="57"/>
  <c r="C56" i="57"/>
  <c r="C109" i="57" s="1"/>
  <c r="S79" i="57"/>
  <c r="M197" i="57"/>
  <c r="M196" i="57"/>
  <c r="M209" i="57"/>
  <c r="M211" i="57" s="1"/>
  <c r="G83" i="57"/>
  <c r="M95" i="57"/>
  <c r="G98" i="57"/>
  <c r="F132" i="57"/>
  <c r="M83" i="57"/>
  <c r="M98" i="57"/>
  <c r="O100" i="57"/>
  <c r="F133" i="57"/>
  <c r="G133" i="57" s="1"/>
  <c r="BG210" i="57"/>
  <c r="AX224" i="57"/>
  <c r="P100" i="57"/>
  <c r="H211" i="57"/>
  <c r="AY224" i="57"/>
  <c r="F53" i="56"/>
  <c r="K175" i="56" s="1"/>
  <c r="F54" i="56"/>
  <c r="K176" i="56" s="1"/>
  <c r="AG26" i="44"/>
  <c r="S134" i="57"/>
  <c r="T134" i="57" s="1"/>
  <c r="H67" i="56"/>
  <c r="N67" i="56"/>
  <c r="O67" i="56" s="1"/>
  <c r="P67" i="56" s="1"/>
  <c r="R67" i="56" s="1"/>
  <c r="N38" i="57"/>
  <c r="O38" i="57" s="1"/>
  <c r="P38" i="57" s="1"/>
  <c r="F58" i="56"/>
  <c r="K180" i="56" s="1"/>
  <c r="B26" i="57"/>
  <c r="C3" i="57"/>
  <c r="T69" i="56"/>
  <c r="U69" i="56" s="1"/>
  <c r="V69" i="56" s="1"/>
  <c r="W69" i="56" s="1"/>
  <c r="N69" i="56"/>
  <c r="O69" i="56" s="1"/>
  <c r="P69" i="56" s="1"/>
  <c r="H69" i="56"/>
  <c r="S37" i="57"/>
  <c r="T37" i="57" s="1"/>
  <c r="U37" i="57" s="1"/>
  <c r="V37" i="57" s="1"/>
  <c r="W37" i="57" s="1"/>
  <c r="N37" i="57"/>
  <c r="O37" i="57" s="1"/>
  <c r="P37" i="57" s="1"/>
  <c r="Q37" i="57" s="1"/>
  <c r="K37" i="57" s="1"/>
  <c r="E87" i="57"/>
  <c r="E90" i="57" s="1"/>
  <c r="M43" i="57"/>
  <c r="S43" i="57" s="1"/>
  <c r="T43" i="57" s="1"/>
  <c r="G70" i="56"/>
  <c r="T70" i="56" s="1"/>
  <c r="U70" i="56" s="1"/>
  <c r="V70" i="56" s="1"/>
  <c r="T68" i="56"/>
  <c r="U68" i="56" s="1"/>
  <c r="V68" i="56" s="1"/>
  <c r="W68" i="56" s="1"/>
  <c r="H68" i="56"/>
  <c r="F55" i="56"/>
  <c r="K177" i="56" s="1"/>
  <c r="K178" i="56"/>
  <c r="F83" i="56"/>
  <c r="G71" i="56"/>
  <c r="N71" i="56" s="1"/>
  <c r="O71" i="56" s="1"/>
  <c r="P71" i="56" s="1"/>
  <c r="H35" i="57"/>
  <c r="K99" i="57"/>
  <c r="J84" i="57"/>
  <c r="K95" i="57"/>
  <c r="N16" i="56"/>
  <c r="X16" i="56"/>
  <c r="V16" i="56"/>
  <c r="H16" i="56"/>
  <c r="F52" i="56"/>
  <c r="G66" i="56"/>
  <c r="X67" i="56"/>
  <c r="AB75" i="56"/>
  <c r="U75" i="56"/>
  <c r="AH75" i="56" s="1"/>
  <c r="D27" i="56"/>
  <c r="AE75" i="56"/>
  <c r="X75" i="56"/>
  <c r="AK75" i="56" s="1"/>
  <c r="Q15" i="56"/>
  <c r="Q16" i="56"/>
  <c r="M107" i="56"/>
  <c r="M108" i="56"/>
  <c r="N106" i="56"/>
  <c r="M109" i="56"/>
  <c r="R16" i="56"/>
  <c r="W15" i="56"/>
  <c r="T16" i="56"/>
  <c r="K179" i="56"/>
  <c r="G65" i="56"/>
  <c r="F51" i="56"/>
  <c r="F88" i="56"/>
  <c r="N88" i="56"/>
  <c r="T88" i="56" s="1"/>
  <c r="G104" i="56"/>
  <c r="D4" i="56"/>
  <c r="U16" i="56"/>
  <c r="G63" i="56"/>
  <c r="F43" i="56"/>
  <c r="F84" i="56"/>
  <c r="F46" i="56"/>
  <c r="G64" i="56"/>
  <c r="G14" i="56"/>
  <c r="W16" i="56"/>
  <c r="N70" i="56"/>
  <c r="O70" i="56" s="1"/>
  <c r="P70" i="56" s="1"/>
  <c r="V15" i="56"/>
  <c r="H15" i="56"/>
  <c r="T15" i="56"/>
  <c r="R15" i="56"/>
  <c r="P15" i="56"/>
  <c r="H72" i="56"/>
  <c r="T72" i="56"/>
  <c r="U72" i="56" s="1"/>
  <c r="V72" i="56" s="1"/>
  <c r="N72" i="56"/>
  <c r="O72" i="56" s="1"/>
  <c r="P72" i="56" s="1"/>
  <c r="F87" i="56"/>
  <c r="C3" i="56"/>
  <c r="R13" i="56"/>
  <c r="U13" i="56"/>
  <c r="H13" i="56"/>
  <c r="V13" i="56"/>
  <c r="N68" i="56"/>
  <c r="O68" i="56" s="1"/>
  <c r="P68" i="56" s="1"/>
  <c r="W75" i="56"/>
  <c r="AJ75" i="56" s="1"/>
  <c r="K109" i="56"/>
  <c r="K110" i="56" s="1"/>
  <c r="U30" i="57"/>
  <c r="AI168" i="56"/>
  <c r="AI169" i="56" s="1"/>
  <c r="W168" i="56"/>
  <c r="W169" i="56" s="1"/>
  <c r="K168" i="56"/>
  <c r="K169" i="56" s="1"/>
  <c r="AF168" i="56"/>
  <c r="AF169" i="56" s="1"/>
  <c r="T168" i="56"/>
  <c r="T169" i="56" s="1"/>
  <c r="AP130" i="56"/>
  <c r="AP131" i="56" s="1"/>
  <c r="AD130" i="56"/>
  <c r="AD131" i="56" s="1"/>
  <c r="R130" i="56"/>
  <c r="R131" i="56" s="1"/>
  <c r="AQ168" i="56"/>
  <c r="AE168" i="56"/>
  <c r="S168" i="56"/>
  <c r="S169" i="56" s="1"/>
  <c r="AO130" i="56"/>
  <c r="AO131" i="56" s="1"/>
  <c r="AC130" i="56"/>
  <c r="AC131" i="56" s="1"/>
  <c r="Q130" i="56"/>
  <c r="Q131" i="56" s="1"/>
  <c r="AP168" i="56"/>
  <c r="AP169" i="56" s="1"/>
  <c r="AD168" i="56"/>
  <c r="AD169" i="56" s="1"/>
  <c r="R168" i="56"/>
  <c r="R169" i="56" s="1"/>
  <c r="AO168" i="56"/>
  <c r="AO169" i="56" s="1"/>
  <c r="AC168" i="56"/>
  <c r="AC169" i="56" s="1"/>
  <c r="Q168" i="56"/>
  <c r="Q169" i="56" s="1"/>
  <c r="AM130" i="56"/>
  <c r="AM131" i="56" s="1"/>
  <c r="AA130" i="56"/>
  <c r="AA131" i="56" s="1"/>
  <c r="O130" i="56"/>
  <c r="O131" i="56" s="1"/>
  <c r="AN168" i="56"/>
  <c r="AN169" i="56" s="1"/>
  <c r="AB168" i="56"/>
  <c r="AB169" i="56" s="1"/>
  <c r="P168" i="56"/>
  <c r="P169" i="56" s="1"/>
  <c r="AL130" i="56"/>
  <c r="AL131" i="56" s="1"/>
  <c r="Z130" i="56"/>
  <c r="Z131" i="56" s="1"/>
  <c r="N130" i="56"/>
  <c r="N131" i="56" s="1"/>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S53" i="57"/>
  <c r="S76" i="57" s="1"/>
  <c r="M53" i="57"/>
  <c r="M76" i="57" s="1"/>
  <c r="G68" i="57"/>
  <c r="M68" i="57"/>
  <c r="S68" i="57"/>
  <c r="T131" i="56"/>
  <c r="AG130" i="56"/>
  <c r="AG131" i="56" s="1"/>
  <c r="N168" i="56"/>
  <c r="N169" i="56" s="1"/>
  <c r="U131" i="56"/>
  <c r="L130" i="56"/>
  <c r="L131" i="56" s="1"/>
  <c r="AJ130" i="56"/>
  <c r="AJ131" i="56" s="1"/>
  <c r="O168" i="56"/>
  <c r="O169" i="56" s="1"/>
  <c r="M130" i="56"/>
  <c r="M131" i="56" s="1"/>
  <c r="AK130" i="56"/>
  <c r="AK131" i="56" s="1"/>
  <c r="U168" i="56"/>
  <c r="U169" i="56" s="1"/>
  <c r="M25" i="57"/>
  <c r="F25" i="57" s="1"/>
  <c r="P130" i="56"/>
  <c r="P131" i="56" s="1"/>
  <c r="AN130" i="56"/>
  <c r="AN131" i="56" s="1"/>
  <c r="V168" i="56"/>
  <c r="V169" i="56" s="1"/>
  <c r="Z168" i="56"/>
  <c r="Z169" i="56" s="1"/>
  <c r="AG168" i="56"/>
  <c r="AG169" i="56" s="1"/>
  <c r="S41" i="57"/>
  <c r="N41" i="57"/>
  <c r="G41" i="57" s="1"/>
  <c r="Y130" i="56"/>
  <c r="Y131" i="56" s="1"/>
  <c r="AE169" i="56"/>
  <c r="AQ169" i="56"/>
  <c r="AL168" i="56"/>
  <c r="AL169" i="56" s="1"/>
  <c r="S27" i="57"/>
  <c r="N27" i="57"/>
  <c r="H27" i="57" s="1"/>
  <c r="F27" i="57"/>
  <c r="Q21" i="57"/>
  <c r="G48" i="57"/>
  <c r="M48" i="57"/>
  <c r="N48" i="57" s="1"/>
  <c r="O48" i="57" s="1"/>
  <c r="I48" i="57" s="1"/>
  <c r="E82" i="57"/>
  <c r="E85" i="57" s="1"/>
  <c r="M36" i="57"/>
  <c r="F36" i="57" s="1"/>
  <c r="S48" i="57"/>
  <c r="T48" i="57" s="1"/>
  <c r="U48" i="57" s="1"/>
  <c r="G78" i="57"/>
  <c r="S78" i="57"/>
  <c r="Q103" i="57"/>
  <c r="Q104" i="57" s="1"/>
  <c r="P104" i="57"/>
  <c r="C36" i="57"/>
  <c r="C42" i="57" s="1"/>
  <c r="C55" i="57"/>
  <c r="C86" i="57"/>
  <c r="C101" i="57" s="1"/>
  <c r="C122" i="57" s="1"/>
  <c r="N44" i="57"/>
  <c r="O44" i="57" s="1"/>
  <c r="S44" i="57"/>
  <c r="T44" i="57" s="1"/>
  <c r="U44" i="57" s="1"/>
  <c r="V44" i="57" s="1"/>
  <c r="W44" i="57" s="1"/>
  <c r="S42" i="57"/>
  <c r="N42" i="57"/>
  <c r="C75" i="57"/>
  <c r="C93" i="57" s="1"/>
  <c r="C114" i="57" s="1"/>
  <c r="O31" i="57"/>
  <c r="I31" i="57" s="1"/>
  <c r="G31" i="57"/>
  <c r="F31" i="57"/>
  <c r="S32" i="57"/>
  <c r="S35" i="57"/>
  <c r="H79" i="57"/>
  <c r="K79" i="57"/>
  <c r="I83" i="57"/>
  <c r="I89" i="57"/>
  <c r="N30" i="57"/>
  <c r="H31" i="57"/>
  <c r="O35" i="57"/>
  <c r="I35" i="57" s="1"/>
  <c r="F37" i="57"/>
  <c r="J48" i="57"/>
  <c r="S73" i="57"/>
  <c r="T73" i="57" s="1"/>
  <c r="U73" i="57" s="1"/>
  <c r="V73" i="57" s="1"/>
  <c r="W73" i="57" s="1"/>
  <c r="M73" i="57"/>
  <c r="N73" i="57" s="1"/>
  <c r="O73" i="57" s="1"/>
  <c r="P73" i="57" s="1"/>
  <c r="Q73" i="57" s="1"/>
  <c r="K73" i="57" s="1"/>
  <c r="G73" i="57"/>
  <c r="B27" i="57"/>
  <c r="F32" i="57"/>
  <c r="G94" i="57"/>
  <c r="S94" i="57"/>
  <c r="S96" i="57" s="1"/>
  <c r="F96" i="57"/>
  <c r="K139" i="57"/>
  <c r="I139" i="57"/>
  <c r="H103" i="57"/>
  <c r="H99" i="57"/>
  <c r="K94" i="57"/>
  <c r="J89" i="57"/>
  <c r="J83" i="57"/>
  <c r="H78" i="57"/>
  <c r="J95" i="57"/>
  <c r="I84" i="57"/>
  <c r="H134" i="57"/>
  <c r="K102" i="57"/>
  <c r="H95" i="57"/>
  <c r="J102" i="57"/>
  <c r="K98" i="57"/>
  <c r="I102" i="57"/>
  <c r="J98" i="57"/>
  <c r="K88" i="57"/>
  <c r="J139" i="57"/>
  <c r="J103" i="57"/>
  <c r="J99" i="57"/>
  <c r="H98" i="57"/>
  <c r="I98" i="57"/>
  <c r="H89" i="57"/>
  <c r="H83" i="57"/>
  <c r="K78" i="57"/>
  <c r="F44" i="57"/>
  <c r="I95" i="57"/>
  <c r="K84" i="57"/>
  <c r="H102" i="57"/>
  <c r="I99" i="57"/>
  <c r="J88" i="57"/>
  <c r="H84" i="57"/>
  <c r="J79" i="57"/>
  <c r="K48" i="57"/>
  <c r="F41" i="57"/>
  <c r="I88" i="57"/>
  <c r="I79" i="57"/>
  <c r="I94" i="57"/>
  <c r="H94" i="57"/>
  <c r="K89" i="57"/>
  <c r="K83" i="57"/>
  <c r="S64" i="57"/>
  <c r="M64" i="57"/>
  <c r="M67" i="57"/>
  <c r="N67" i="57" s="1"/>
  <c r="O67" i="57" s="1"/>
  <c r="P67" i="57" s="1"/>
  <c r="G67" i="57"/>
  <c r="J94" i="57"/>
  <c r="S31" i="57"/>
  <c r="F38" i="57"/>
  <c r="G64" i="57"/>
  <c r="F70" i="57"/>
  <c r="E69" i="57"/>
  <c r="F69" i="57" s="1"/>
  <c r="M94" i="57"/>
  <c r="I103" i="57"/>
  <c r="F139" i="57"/>
  <c r="G27" i="57"/>
  <c r="F35" i="57"/>
  <c r="S40" i="57"/>
  <c r="M40" i="57"/>
  <c r="I78" i="57"/>
  <c r="G88" i="57"/>
  <c r="S88" i="57"/>
  <c r="O134" i="57"/>
  <c r="I134" i="57" s="1"/>
  <c r="J231" i="57"/>
  <c r="F30" i="57"/>
  <c r="G35" i="57"/>
  <c r="E50" i="57"/>
  <c r="J78" i="57"/>
  <c r="H88" i="57"/>
  <c r="S99" i="57"/>
  <c r="S100" i="57" s="1"/>
  <c r="M99" i="57"/>
  <c r="M100" i="57" s="1"/>
  <c r="F100" i="57"/>
  <c r="G99" i="57"/>
  <c r="F42" i="57"/>
  <c r="S67" i="57"/>
  <c r="T67" i="57" s="1"/>
  <c r="U67" i="57" s="1"/>
  <c r="V67" i="57" s="1"/>
  <c r="W67" i="57" s="1"/>
  <c r="S102" i="57"/>
  <c r="M102" i="57"/>
  <c r="F104" i="57"/>
  <c r="G102" i="57"/>
  <c r="G104" i="57" s="1"/>
  <c r="M26" i="57"/>
  <c r="S138" i="57"/>
  <c r="M138" i="57"/>
  <c r="G138" i="57"/>
  <c r="S103" i="57"/>
  <c r="M103" i="57"/>
  <c r="E144" i="57"/>
  <c r="F144" i="57" s="1"/>
  <c r="F165" i="57"/>
  <c r="G143" i="57"/>
  <c r="G165" i="57" s="1"/>
  <c r="S143" i="57"/>
  <c r="T143" i="57" s="1"/>
  <c r="U143" i="57" s="1"/>
  <c r="V143" i="57" s="1"/>
  <c r="W143" i="57" s="1"/>
  <c r="F142" i="57"/>
  <c r="M143" i="57"/>
  <c r="N143" i="57" s="1"/>
  <c r="O143" i="57" s="1"/>
  <c r="P143" i="57" s="1"/>
  <c r="Q143" i="57" s="1"/>
  <c r="K143" i="57" s="1"/>
  <c r="BE244" i="57"/>
  <c r="BF244" i="57"/>
  <c r="BG217" i="57"/>
  <c r="BH217" i="57" s="1"/>
  <c r="BH203" i="57"/>
  <c r="BI203" i="57" s="1"/>
  <c r="L198" i="57"/>
  <c r="L211" i="57"/>
  <c r="C211" i="57"/>
  <c r="D211" i="57"/>
  <c r="M244" i="57"/>
  <c r="K254" i="57"/>
  <c r="M245" i="57"/>
  <c r="J210" i="57"/>
  <c r="F211" i="57"/>
  <c r="N245" i="57"/>
  <c r="N244" i="57"/>
  <c r="M227" i="57"/>
  <c r="M223" i="57"/>
  <c r="G211" i="57"/>
  <c r="I211" i="57"/>
  <c r="AM211" i="57"/>
  <c r="K223" i="57"/>
  <c r="L254" i="57"/>
  <c r="AN211" i="57"/>
  <c r="L223" i="57"/>
  <c r="L224" i="57"/>
  <c r="D224" i="57"/>
  <c r="BF245" i="57"/>
  <c r="L245" i="57"/>
  <c r="AC85" i="32" l="1"/>
  <c r="AC84" i="32"/>
  <c r="L110" i="56"/>
  <c r="G96" i="57"/>
  <c r="F80" i="56"/>
  <c r="M133" i="57"/>
  <c r="N133" i="57" s="1"/>
  <c r="S133" i="57"/>
  <c r="H38" i="57"/>
  <c r="P16" i="56"/>
  <c r="O16" i="56"/>
  <c r="F18" i="56"/>
  <c r="G17" i="56"/>
  <c r="G38" i="57"/>
  <c r="N209" i="57"/>
  <c r="O196" i="57" s="1"/>
  <c r="M210" i="57"/>
  <c r="M96" i="57"/>
  <c r="K103" i="57"/>
  <c r="L225" i="57"/>
  <c r="N198" i="57"/>
  <c r="L199" i="57"/>
  <c r="L203" i="57" s="1"/>
  <c r="N196" i="57"/>
  <c r="N197" i="57"/>
  <c r="BE246" i="57"/>
  <c r="N246" i="57"/>
  <c r="N247" i="57" s="1"/>
  <c r="BF246" i="57"/>
  <c r="BF247" i="57" s="1"/>
  <c r="O197" i="57"/>
  <c r="L212" i="57"/>
  <c r="L213" i="57" s="1"/>
  <c r="G100" i="57"/>
  <c r="G132" i="57"/>
  <c r="S132" i="57"/>
  <c r="F81" i="56"/>
  <c r="I37" i="57"/>
  <c r="J37" i="57"/>
  <c r="H41" i="57"/>
  <c r="F43" i="57"/>
  <c r="F87" i="57" s="1"/>
  <c r="F90" i="57" s="1"/>
  <c r="F85" i="56"/>
  <c r="G44" i="57"/>
  <c r="N43" i="57"/>
  <c r="H43" i="57" s="1"/>
  <c r="H37" i="57"/>
  <c r="G37" i="57"/>
  <c r="T71" i="56"/>
  <c r="U71" i="56" s="1"/>
  <c r="V71" i="56" s="1"/>
  <c r="X71" i="56" s="1"/>
  <c r="X68" i="56"/>
  <c r="H71" i="56"/>
  <c r="Q67" i="56"/>
  <c r="I73" i="57"/>
  <c r="M87" i="57"/>
  <c r="X69" i="56"/>
  <c r="F82" i="56"/>
  <c r="H104" i="57"/>
  <c r="J100" i="57"/>
  <c r="K96" i="57"/>
  <c r="H70" i="56"/>
  <c r="J73" i="57"/>
  <c r="F82" i="57"/>
  <c r="F85" i="57" s="1"/>
  <c r="H44" i="57"/>
  <c r="S87" i="57"/>
  <c r="H73" i="57"/>
  <c r="H143" i="57"/>
  <c r="Q69" i="56"/>
  <c r="K69" i="56" s="1"/>
  <c r="R69" i="56"/>
  <c r="L69" i="56" s="1"/>
  <c r="K100" i="57"/>
  <c r="H100" i="57"/>
  <c r="L226" i="57"/>
  <c r="T35" i="57"/>
  <c r="O42" i="57"/>
  <c r="G42" i="57"/>
  <c r="S25" i="57"/>
  <c r="N25" i="57"/>
  <c r="X72" i="56"/>
  <c r="W72" i="56"/>
  <c r="H63" i="56"/>
  <c r="N63" i="56"/>
  <c r="O63" i="56" s="1"/>
  <c r="P63" i="56" s="1"/>
  <c r="J63" i="56" s="1"/>
  <c r="T63" i="56"/>
  <c r="U63" i="56" s="1"/>
  <c r="V63" i="56" s="1"/>
  <c r="T65" i="56"/>
  <c r="U65" i="56" s="1"/>
  <c r="V65" i="56" s="1"/>
  <c r="N65" i="56"/>
  <c r="O65" i="56" s="1"/>
  <c r="P65" i="56" s="1"/>
  <c r="J65" i="56" s="1"/>
  <c r="H65" i="56"/>
  <c r="N138" i="57"/>
  <c r="M139" i="57"/>
  <c r="M137" i="57" s="1"/>
  <c r="G139" i="57"/>
  <c r="S139" i="57"/>
  <c r="S137" i="57" s="1"/>
  <c r="J96" i="57"/>
  <c r="I100" i="57"/>
  <c r="J104" i="57"/>
  <c r="M82" i="57"/>
  <c r="M85" i="57" s="1"/>
  <c r="S36" i="57"/>
  <c r="T36" i="57" s="1"/>
  <c r="U36" i="57" s="1"/>
  <c r="V36" i="57" s="1"/>
  <c r="W36" i="57" s="1"/>
  <c r="N36" i="57"/>
  <c r="O27" i="57"/>
  <c r="T42" i="57"/>
  <c r="T27" i="57"/>
  <c r="H66" i="56"/>
  <c r="T66" i="56"/>
  <c r="U66" i="56" s="1"/>
  <c r="V66" i="56" s="1"/>
  <c r="N66" i="56"/>
  <c r="O66" i="56" s="1"/>
  <c r="P66" i="56" s="1"/>
  <c r="U43" i="57"/>
  <c r="V30" i="57"/>
  <c r="K174" i="56"/>
  <c r="F79" i="56"/>
  <c r="T138" i="57"/>
  <c r="F77" i="57"/>
  <c r="F80" i="57" s="1"/>
  <c r="S69" i="57"/>
  <c r="G69" i="57"/>
  <c r="M69" i="57"/>
  <c r="Q67" i="57"/>
  <c r="K67" i="57" s="1"/>
  <c r="J67" i="57"/>
  <c r="O106" i="56"/>
  <c r="N108" i="56"/>
  <c r="N107" i="56"/>
  <c r="N109" i="56"/>
  <c r="M132" i="57"/>
  <c r="P134" i="57"/>
  <c r="M70" i="57"/>
  <c r="N70" i="57" s="1"/>
  <c r="S70" i="57"/>
  <c r="T70" i="57" s="1"/>
  <c r="G70" i="57"/>
  <c r="N64" i="57"/>
  <c r="N77" i="57" s="1"/>
  <c r="N80" i="57" s="1"/>
  <c r="I96" i="57"/>
  <c r="I70" i="56"/>
  <c r="L67" i="56"/>
  <c r="J72" i="56"/>
  <c r="K67" i="56"/>
  <c r="I67" i="56"/>
  <c r="I69" i="56"/>
  <c r="J13" i="56"/>
  <c r="J71" i="56"/>
  <c r="I71" i="56"/>
  <c r="K16" i="56"/>
  <c r="J16" i="56"/>
  <c r="I68" i="56"/>
  <c r="I72" i="56"/>
  <c r="I15" i="56"/>
  <c r="L13" i="56"/>
  <c r="J70" i="56"/>
  <c r="K13" i="56"/>
  <c r="L16" i="56"/>
  <c r="J67" i="56"/>
  <c r="I13" i="56"/>
  <c r="J68" i="56"/>
  <c r="L15" i="56"/>
  <c r="J69" i="56"/>
  <c r="I16" i="56"/>
  <c r="K15" i="56"/>
  <c r="J15" i="56"/>
  <c r="O30" i="57"/>
  <c r="G30" i="57"/>
  <c r="G77" i="57" s="1"/>
  <c r="G80" i="57" s="1"/>
  <c r="T32" i="57"/>
  <c r="Q38" i="57"/>
  <c r="K38" i="57" s="1"/>
  <c r="J38" i="57"/>
  <c r="I67" i="57"/>
  <c r="K104" i="57"/>
  <c r="P14" i="56"/>
  <c r="J14" i="56" s="1"/>
  <c r="N14" i="56"/>
  <c r="X14" i="56"/>
  <c r="H14" i="56"/>
  <c r="T14" i="56"/>
  <c r="Q14" i="56"/>
  <c r="K14" i="56" s="1"/>
  <c r="V14" i="56"/>
  <c r="W14" i="56"/>
  <c r="R14" i="56"/>
  <c r="L14" i="56" s="1"/>
  <c r="U14" i="56"/>
  <c r="O14" i="56"/>
  <c r="I14" i="56" s="1"/>
  <c r="Q71" i="56"/>
  <c r="K71" i="56" s="1"/>
  <c r="R71" i="56"/>
  <c r="L71" i="56" s="1"/>
  <c r="H67" i="57"/>
  <c r="T31" i="57"/>
  <c r="T64" i="57"/>
  <c r="I143" i="57"/>
  <c r="P44" i="57"/>
  <c r="I44" i="57"/>
  <c r="O41" i="57"/>
  <c r="Q70" i="56"/>
  <c r="K70" i="56" s="1"/>
  <c r="R70" i="56"/>
  <c r="L70" i="56" s="1"/>
  <c r="H104" i="56"/>
  <c r="H88" i="56" s="1"/>
  <c r="G88" i="56"/>
  <c r="M110" i="56"/>
  <c r="W70" i="56"/>
  <c r="X70" i="56"/>
  <c r="H64" i="56"/>
  <c r="T64" i="56"/>
  <c r="U64" i="56" s="1"/>
  <c r="V64" i="56" s="1"/>
  <c r="N64" i="56"/>
  <c r="O64" i="56" s="1"/>
  <c r="P64" i="56" s="1"/>
  <c r="S26" i="57"/>
  <c r="N26" i="57"/>
  <c r="F26" i="57"/>
  <c r="E51" i="57"/>
  <c r="E110" i="57"/>
  <c r="Q68" i="56"/>
  <c r="K68" i="56" s="1"/>
  <c r="R68" i="56"/>
  <c r="L68" i="56" s="1"/>
  <c r="K172" i="56"/>
  <c r="F48" i="56"/>
  <c r="F39" i="56" s="1"/>
  <c r="N39" i="56" s="1"/>
  <c r="F77" i="56"/>
  <c r="K225" i="57"/>
  <c r="K226" i="57" s="1"/>
  <c r="AO212" i="57"/>
  <c r="AO213" i="57" s="1"/>
  <c r="AN198" i="57"/>
  <c r="AN199" i="57" s="1"/>
  <c r="BG212" i="57"/>
  <c r="BG213" i="57" s="1"/>
  <c r="AP212" i="57"/>
  <c r="AP213" i="57" s="1"/>
  <c r="AN212" i="57"/>
  <c r="AN213" i="57" s="1"/>
  <c r="K212" i="57"/>
  <c r="K213" i="57" s="1"/>
  <c r="AM212" i="57"/>
  <c r="AM213" i="57" s="1"/>
  <c r="J212" i="57"/>
  <c r="J213" i="57" s="1"/>
  <c r="AQ198" i="57"/>
  <c r="AQ199" i="57" s="1"/>
  <c r="K198" i="57"/>
  <c r="K199" i="57" s="1"/>
  <c r="BH198" i="57"/>
  <c r="BH199" i="57" s="1"/>
  <c r="AO198" i="57"/>
  <c r="AO199" i="57" s="1"/>
  <c r="M198" i="57"/>
  <c r="M199" i="57" s="1"/>
  <c r="AP198" i="57"/>
  <c r="AP199" i="57" s="1"/>
  <c r="M144" i="57"/>
  <c r="N144" i="57" s="1"/>
  <c r="S144" i="57"/>
  <c r="T144" i="57" s="1"/>
  <c r="U144" i="57" s="1"/>
  <c r="V144" i="57" s="1"/>
  <c r="W144" i="57" s="1"/>
  <c r="G144" i="57"/>
  <c r="H42" i="57"/>
  <c r="T41" i="57"/>
  <c r="S77" i="57"/>
  <c r="S80" i="57" s="1"/>
  <c r="H30" i="57"/>
  <c r="H48" i="57"/>
  <c r="M77" i="57"/>
  <c r="M80" i="57" s="1"/>
  <c r="D245" i="57"/>
  <c r="L246" i="57" s="1"/>
  <c r="L247" i="57" s="1"/>
  <c r="AX225" i="57"/>
  <c r="AX226" i="57" s="1"/>
  <c r="AY225" i="57"/>
  <c r="AY226" i="57" s="1"/>
  <c r="M246" i="57"/>
  <c r="M247" i="57" s="1"/>
  <c r="M225" i="57"/>
  <c r="M226" i="57" s="1"/>
  <c r="O244" i="57"/>
  <c r="M254" i="57"/>
  <c r="O245" i="57"/>
  <c r="O246" i="57"/>
  <c r="N225" i="57"/>
  <c r="N227" i="57"/>
  <c r="N223" i="57"/>
  <c r="N224" i="57"/>
  <c r="N211" i="57"/>
  <c r="N210" i="57"/>
  <c r="BE247" i="57"/>
  <c r="G142" i="57"/>
  <c r="G164" i="57" s="1"/>
  <c r="M142" i="57"/>
  <c r="N142" i="57" s="1"/>
  <c r="S142" i="57"/>
  <c r="T142" i="57" s="1"/>
  <c r="U142" i="57" s="1"/>
  <c r="V142" i="57" s="1"/>
  <c r="W142" i="57" s="1"/>
  <c r="F164" i="57"/>
  <c r="H96" i="57"/>
  <c r="I104" i="57"/>
  <c r="M212" i="57"/>
  <c r="M213" i="57" s="1"/>
  <c r="U134" i="57"/>
  <c r="T132" i="57"/>
  <c r="M104" i="57"/>
  <c r="J143" i="57"/>
  <c r="P31" i="57"/>
  <c r="S104" i="57"/>
  <c r="I38" i="57"/>
  <c r="P35" i="57"/>
  <c r="C108" i="57"/>
  <c r="C81" i="57"/>
  <c r="C97" i="57" s="1"/>
  <c r="C118" i="57" s="1"/>
  <c r="R72" i="56"/>
  <c r="L72" i="56" s="1"/>
  <c r="Q72" i="56"/>
  <c r="K72" i="56" s="1"/>
  <c r="K171" i="56"/>
  <c r="F76" i="56"/>
  <c r="K173" i="56"/>
  <c r="F78" i="56"/>
  <c r="F60" i="56"/>
  <c r="F28" i="56" s="1"/>
  <c r="G28" i="56" s="1"/>
  <c r="AD84" i="32" l="1"/>
  <c r="AD85" i="32"/>
  <c r="O198" i="57"/>
  <c r="O209" i="57"/>
  <c r="P197" i="57" s="1"/>
  <c r="N212" i="57"/>
  <c r="I65" i="56"/>
  <c r="O17" i="56"/>
  <c r="I17" i="56" s="1"/>
  <c r="H17" i="56"/>
  <c r="Q17" i="56"/>
  <c r="K17" i="56" s="1"/>
  <c r="R17" i="56"/>
  <c r="L17" i="56" s="1"/>
  <c r="X17" i="56"/>
  <c r="P17" i="56"/>
  <c r="J17" i="56" s="1"/>
  <c r="N17" i="56"/>
  <c r="W17" i="56"/>
  <c r="T17" i="56"/>
  <c r="V17" i="56"/>
  <c r="U17" i="56"/>
  <c r="G18" i="56"/>
  <c r="F19" i="56"/>
  <c r="O43" i="57"/>
  <c r="P43" i="57" s="1"/>
  <c r="N199" i="57"/>
  <c r="G43" i="57"/>
  <c r="P198" i="57"/>
  <c r="W71" i="56"/>
  <c r="T87" i="57"/>
  <c r="T90" i="57" s="1"/>
  <c r="I64" i="56"/>
  <c r="S82" i="57"/>
  <c r="S85" i="57" s="1"/>
  <c r="T39" i="56"/>
  <c r="O39" i="56"/>
  <c r="G39" i="56"/>
  <c r="M217" i="57"/>
  <c r="M218" i="57"/>
  <c r="N226" i="57"/>
  <c r="O26" i="57"/>
  <c r="H26" i="57"/>
  <c r="G26" i="57"/>
  <c r="I66" i="56"/>
  <c r="T68" i="57"/>
  <c r="T69" i="57"/>
  <c r="U70" i="57"/>
  <c r="U138" i="57"/>
  <c r="V43" i="57"/>
  <c r="F30" i="56"/>
  <c r="G30" i="56" s="1"/>
  <c r="F31" i="56"/>
  <c r="G31" i="56" s="1"/>
  <c r="F32" i="56"/>
  <c r="G32" i="56" s="1"/>
  <c r="F35" i="56"/>
  <c r="G35" i="56" s="1"/>
  <c r="F33" i="56"/>
  <c r="G33" i="56" s="1"/>
  <c r="F36" i="56"/>
  <c r="F34" i="56"/>
  <c r="G34" i="56" s="1"/>
  <c r="N110" i="56"/>
  <c r="R66" i="56"/>
  <c r="L66" i="56" s="1"/>
  <c r="Q66" i="56"/>
  <c r="K66" i="56" s="1"/>
  <c r="O212" i="57"/>
  <c r="O210" i="57"/>
  <c r="O142" i="57"/>
  <c r="H142" i="57"/>
  <c r="N254" i="57"/>
  <c r="P244" i="57"/>
  <c r="O227" i="57"/>
  <c r="O223" i="57"/>
  <c r="P245" i="57"/>
  <c r="O224" i="57"/>
  <c r="O225" i="57"/>
  <c r="P246" i="57"/>
  <c r="K217" i="57"/>
  <c r="L217" i="57" s="1"/>
  <c r="P41" i="57"/>
  <c r="I41" i="57"/>
  <c r="O64" i="57"/>
  <c r="H64" i="57"/>
  <c r="N68" i="57"/>
  <c r="H68" i="57" s="1"/>
  <c r="O70" i="57"/>
  <c r="N69" i="57"/>
  <c r="H69" i="57" s="1"/>
  <c r="H70" i="57"/>
  <c r="F29" i="56"/>
  <c r="G29" i="56" s="1"/>
  <c r="W30" i="57"/>
  <c r="N28" i="56"/>
  <c r="H28" i="56"/>
  <c r="T28" i="56"/>
  <c r="O199" i="57"/>
  <c r="R64" i="56"/>
  <c r="L64" i="56" s="1"/>
  <c r="Q64" i="56"/>
  <c r="K64" i="56" s="1"/>
  <c r="I63" i="56"/>
  <c r="O109" i="56"/>
  <c r="O108" i="56"/>
  <c r="P106" i="56"/>
  <c r="O107" i="56"/>
  <c r="U27" i="57"/>
  <c r="P27" i="57"/>
  <c r="I27" i="57"/>
  <c r="R65" i="56"/>
  <c r="L65" i="56" s="1"/>
  <c r="Q65" i="56"/>
  <c r="K65" i="56" s="1"/>
  <c r="P42" i="57"/>
  <c r="I42" i="57"/>
  <c r="F89" i="56"/>
  <c r="O247" i="57"/>
  <c r="M203" i="57"/>
  <c r="X64" i="56"/>
  <c r="W64" i="56"/>
  <c r="U31" i="57"/>
  <c r="J64" i="56"/>
  <c r="T139" i="57"/>
  <c r="T137" i="57" s="1"/>
  <c r="X65" i="56"/>
  <c r="W65" i="56"/>
  <c r="N82" i="57"/>
  <c r="N85" i="57" s="1"/>
  <c r="T26" i="57"/>
  <c r="N213" i="57"/>
  <c r="U32" i="57"/>
  <c r="N132" i="57"/>
  <c r="O133" i="57"/>
  <c r="H133" i="57"/>
  <c r="S90" i="57"/>
  <c r="M90" i="57"/>
  <c r="X63" i="56"/>
  <c r="W63" i="56"/>
  <c r="K231" i="57"/>
  <c r="L231" i="57" s="1"/>
  <c r="O144" i="57"/>
  <c r="H144" i="57"/>
  <c r="Q134" i="57"/>
  <c r="J134" i="57"/>
  <c r="U64" i="57"/>
  <c r="R63" i="56"/>
  <c r="L63" i="56" s="1"/>
  <c r="Q63" i="56"/>
  <c r="K63" i="56" s="1"/>
  <c r="N204" i="57"/>
  <c r="N203" i="57"/>
  <c r="I43" i="57"/>
  <c r="P30" i="57"/>
  <c r="I30" i="57"/>
  <c r="T82" i="57"/>
  <c r="T85" i="57" s="1"/>
  <c r="U42" i="57"/>
  <c r="O36" i="57"/>
  <c r="G36" i="57"/>
  <c r="G82" i="57" s="1"/>
  <c r="G85" i="57" s="1"/>
  <c r="H36" i="57"/>
  <c r="N139" i="57"/>
  <c r="N137" i="57" s="1"/>
  <c r="Q35" i="57"/>
  <c r="J35" i="57"/>
  <c r="Q44" i="57"/>
  <c r="K44" i="57" s="1"/>
  <c r="J44" i="57"/>
  <c r="X66" i="56"/>
  <c r="W66" i="56"/>
  <c r="Q31" i="57"/>
  <c r="J31" i="57"/>
  <c r="F40" i="56"/>
  <c r="J66" i="56"/>
  <c r="O25" i="57"/>
  <c r="G25" i="57"/>
  <c r="H25" i="57"/>
  <c r="U35" i="57"/>
  <c r="U132" i="57"/>
  <c r="V134" i="57"/>
  <c r="T77" i="57"/>
  <c r="T80" i="57" s="1"/>
  <c r="U41" i="57"/>
  <c r="O138" i="57"/>
  <c r="H138" i="57"/>
  <c r="AE85" i="32" l="1"/>
  <c r="AE84" i="32"/>
  <c r="O211" i="57"/>
  <c r="P209" i="57"/>
  <c r="Q197" i="57" s="1"/>
  <c r="P196" i="57"/>
  <c r="Q18" i="56"/>
  <c r="K18" i="56" s="1"/>
  <c r="P18" i="56"/>
  <c r="J18" i="56" s="1"/>
  <c r="X18" i="56"/>
  <c r="W18" i="56"/>
  <c r="V18" i="56"/>
  <c r="O18" i="56"/>
  <c r="I18" i="56" s="1"/>
  <c r="U18" i="56"/>
  <c r="H18" i="56"/>
  <c r="T18" i="56"/>
  <c r="R18" i="56"/>
  <c r="L18" i="56" s="1"/>
  <c r="N18" i="56"/>
  <c r="F20" i="56"/>
  <c r="G19" i="56"/>
  <c r="P199" i="57"/>
  <c r="Q196" i="57"/>
  <c r="O82" i="57"/>
  <c r="O85" i="57" s="1"/>
  <c r="G36" i="56"/>
  <c r="T36" i="56" s="1"/>
  <c r="H82" i="57"/>
  <c r="H85" i="57" s="1"/>
  <c r="P25" i="57"/>
  <c r="I25" i="57"/>
  <c r="O203" i="57"/>
  <c r="O204" i="57"/>
  <c r="O28" i="56"/>
  <c r="W134" i="57"/>
  <c r="V132" i="57"/>
  <c r="Q43" i="57"/>
  <c r="J43" i="57"/>
  <c r="N218" i="57"/>
  <c r="N217" i="57"/>
  <c r="Q42" i="57"/>
  <c r="J42" i="57"/>
  <c r="O254" i="57"/>
  <c r="Q245" i="57"/>
  <c r="Q246" i="57"/>
  <c r="P225" i="57"/>
  <c r="Q244" i="57"/>
  <c r="P227" i="57"/>
  <c r="P223" i="57"/>
  <c r="P224" i="57"/>
  <c r="N118" i="56"/>
  <c r="M139" i="56" s="1"/>
  <c r="N113" i="56"/>
  <c r="M134" i="56" s="1"/>
  <c r="N111" i="56"/>
  <c r="M132" i="56" s="1"/>
  <c r="N120" i="56"/>
  <c r="M141" i="56" s="1"/>
  <c r="N123" i="56"/>
  <c r="M144" i="56" s="1"/>
  <c r="N183" i="56" s="1"/>
  <c r="N119" i="56"/>
  <c r="M140" i="56" s="1"/>
  <c r="N116" i="56"/>
  <c r="M137" i="56" s="1"/>
  <c r="N117" i="56"/>
  <c r="M138" i="56" s="1"/>
  <c r="N114" i="56"/>
  <c r="M135" i="56" s="1"/>
  <c r="N115" i="56"/>
  <c r="M136" i="56" s="1"/>
  <c r="N112" i="56"/>
  <c r="M133" i="56" s="1"/>
  <c r="P26" i="57"/>
  <c r="I26" i="57"/>
  <c r="V32" i="57"/>
  <c r="K134" i="57"/>
  <c r="P138" i="57"/>
  <c r="O137" i="57"/>
  <c r="I138" i="57"/>
  <c r="V35" i="57"/>
  <c r="K35" i="57"/>
  <c r="P144" i="57"/>
  <c r="I144" i="57"/>
  <c r="V27" i="57"/>
  <c r="P247" i="57"/>
  <c r="H34" i="56"/>
  <c r="T34" i="56"/>
  <c r="N34" i="56"/>
  <c r="M232" i="57"/>
  <c r="M231" i="57"/>
  <c r="O69" i="57"/>
  <c r="I69" i="57" s="1"/>
  <c r="O68" i="57"/>
  <c r="I68" i="57" s="1"/>
  <c r="P70" i="57"/>
  <c r="I70" i="57"/>
  <c r="U77" i="57"/>
  <c r="U80" i="57" s="1"/>
  <c r="V41" i="57"/>
  <c r="U82" i="57"/>
  <c r="U85" i="57" s="1"/>
  <c r="V42" i="57"/>
  <c r="H132" i="57"/>
  <c r="V31" i="57"/>
  <c r="O213" i="57"/>
  <c r="U68" i="57"/>
  <c r="U69" i="57"/>
  <c r="V70" i="57"/>
  <c r="H77" i="57"/>
  <c r="H80" i="57" s="1"/>
  <c r="Q30" i="57"/>
  <c r="J30" i="57"/>
  <c r="O226" i="57"/>
  <c r="N33" i="56"/>
  <c r="T33" i="56"/>
  <c r="H33" i="56"/>
  <c r="O110" i="56"/>
  <c r="P64" i="57"/>
  <c r="I64" i="57"/>
  <c r="I77" i="57" s="1"/>
  <c r="I80" i="57" s="1"/>
  <c r="P142" i="57"/>
  <c r="I142" i="57"/>
  <c r="N35" i="56"/>
  <c r="H35" i="56"/>
  <c r="T35" i="56"/>
  <c r="G40" i="56"/>
  <c r="Q106" i="56"/>
  <c r="P109" i="56"/>
  <c r="P107" i="56"/>
  <c r="P108" i="56"/>
  <c r="Q41" i="57"/>
  <c r="J41" i="57"/>
  <c r="H32" i="56"/>
  <c r="T32" i="56"/>
  <c r="N32" i="56"/>
  <c r="U87" i="57"/>
  <c r="U90" i="57" s="1"/>
  <c r="P39" i="56"/>
  <c r="O40" i="56"/>
  <c r="H39" i="56"/>
  <c r="I39" i="56"/>
  <c r="V138" i="57"/>
  <c r="U137" i="57"/>
  <c r="P133" i="57"/>
  <c r="O132" i="57"/>
  <c r="I133" i="57"/>
  <c r="H139" i="57"/>
  <c r="H137" i="57" s="1"/>
  <c r="Q27" i="57"/>
  <c r="J27" i="57"/>
  <c r="O77" i="57"/>
  <c r="O80" i="57" s="1"/>
  <c r="T31" i="56"/>
  <c r="N31" i="56"/>
  <c r="H31" i="56"/>
  <c r="W43" i="57"/>
  <c r="U39" i="56"/>
  <c r="V64" i="57"/>
  <c r="P36" i="57"/>
  <c r="I36" i="57"/>
  <c r="K31" i="57"/>
  <c r="U26" i="57"/>
  <c r="U28" i="56"/>
  <c r="T29" i="56"/>
  <c r="N29" i="56"/>
  <c r="H29" i="56"/>
  <c r="P210" i="57"/>
  <c r="Q209" i="57"/>
  <c r="Q198" i="57"/>
  <c r="N30" i="56"/>
  <c r="H30" i="56"/>
  <c r="T30" i="56"/>
  <c r="AF84" i="32" l="1"/>
  <c r="AF85" i="32"/>
  <c r="Q199" i="57"/>
  <c r="P211" i="57"/>
  <c r="P213" i="57" s="1"/>
  <c r="P212" i="57"/>
  <c r="G20" i="56"/>
  <c r="F21" i="56"/>
  <c r="T19" i="56"/>
  <c r="R19" i="56"/>
  <c r="L19" i="56" s="1"/>
  <c r="P19" i="56"/>
  <c r="J19" i="56" s="1"/>
  <c r="X19" i="56"/>
  <c r="H19" i="56"/>
  <c r="U19" i="56"/>
  <c r="W19" i="56"/>
  <c r="V19" i="56"/>
  <c r="Q19" i="56"/>
  <c r="K19" i="56" s="1"/>
  <c r="O19" i="56"/>
  <c r="I19" i="56" s="1"/>
  <c r="N19" i="56"/>
  <c r="R196" i="57"/>
  <c r="R197" i="57"/>
  <c r="I82" i="57"/>
  <c r="I85" i="57" s="1"/>
  <c r="H36" i="56"/>
  <c r="N36" i="56"/>
  <c r="P77" i="57"/>
  <c r="P80" i="57" s="1"/>
  <c r="P82" i="57"/>
  <c r="P85" i="57" s="1"/>
  <c r="V87" i="57"/>
  <c r="V90" i="57" s="1"/>
  <c r="V39" i="56"/>
  <c r="U40" i="56"/>
  <c r="P40" i="56"/>
  <c r="R39" i="56"/>
  <c r="Q39" i="56"/>
  <c r="J39" i="56"/>
  <c r="Q109" i="56"/>
  <c r="Q107" i="56"/>
  <c r="Q108" i="56"/>
  <c r="R106" i="56"/>
  <c r="O35" i="56"/>
  <c r="N232" i="57"/>
  <c r="N231" i="57"/>
  <c r="Q26" i="57"/>
  <c r="J26" i="57"/>
  <c r="Q142" i="57"/>
  <c r="K142" i="57" s="1"/>
  <c r="J142" i="57"/>
  <c r="W27" i="57"/>
  <c r="W35" i="57"/>
  <c r="W132" i="57"/>
  <c r="K30" i="57"/>
  <c r="U33" i="56"/>
  <c r="W31" i="57"/>
  <c r="V77" i="57"/>
  <c r="V80" i="57" s="1"/>
  <c r="W41" i="57"/>
  <c r="V26" i="57"/>
  <c r="K41" i="57"/>
  <c r="O32" i="56"/>
  <c r="T40" i="56"/>
  <c r="N40" i="56"/>
  <c r="Q70" i="57"/>
  <c r="P68" i="57"/>
  <c r="J68" i="57" s="1"/>
  <c r="P69" i="57"/>
  <c r="J69" i="57" s="1"/>
  <c r="J70" i="57"/>
  <c r="O218" i="57"/>
  <c r="O217" i="57"/>
  <c r="Q210" i="57"/>
  <c r="Q211" i="57"/>
  <c r="R209" i="57"/>
  <c r="Q212" i="57"/>
  <c r="R198" i="57"/>
  <c r="I132" i="57"/>
  <c r="U32" i="56"/>
  <c r="O33" i="56"/>
  <c r="W32" i="57"/>
  <c r="V28" i="56"/>
  <c r="W42" i="57"/>
  <c r="V82" i="57"/>
  <c r="V85" i="57" s="1"/>
  <c r="U30" i="56"/>
  <c r="O31" i="56"/>
  <c r="W70" i="57"/>
  <c r="V69" i="57"/>
  <c r="V68" i="57"/>
  <c r="I137" i="57"/>
  <c r="K42" i="57"/>
  <c r="P28" i="56"/>
  <c r="I28" i="56"/>
  <c r="Q25" i="57"/>
  <c r="J25" i="57"/>
  <c r="Q144" i="57"/>
  <c r="K144" i="57" s="1"/>
  <c r="J144" i="57"/>
  <c r="P226" i="57"/>
  <c r="K43" i="57"/>
  <c r="W138" i="57"/>
  <c r="V137" i="57"/>
  <c r="K27" i="57"/>
  <c r="I40" i="56"/>
  <c r="O30" i="56"/>
  <c r="O29" i="56"/>
  <c r="H40" i="56"/>
  <c r="U35" i="56"/>
  <c r="O34" i="56"/>
  <c r="R246" i="57"/>
  <c r="R244" i="57"/>
  <c r="Q224" i="57"/>
  <c r="R245" i="57"/>
  <c r="P254" i="57"/>
  <c r="Q227" i="57"/>
  <c r="Q225" i="57"/>
  <c r="Q223" i="57"/>
  <c r="W64" i="57"/>
  <c r="Q36" i="57"/>
  <c r="K36" i="57" s="1"/>
  <c r="J36" i="57"/>
  <c r="U31" i="56"/>
  <c r="Q133" i="57"/>
  <c r="P132" i="57"/>
  <c r="J133" i="57"/>
  <c r="O117" i="56"/>
  <c r="N138" i="56" s="1"/>
  <c r="O112" i="56"/>
  <c r="N133" i="56" s="1"/>
  <c r="O120" i="56"/>
  <c r="N141" i="56" s="1"/>
  <c r="O119" i="56"/>
  <c r="N140" i="56" s="1"/>
  <c r="O111" i="56"/>
  <c r="N132" i="56" s="1"/>
  <c r="O123" i="56"/>
  <c r="N144" i="56" s="1"/>
  <c r="O183" i="56" s="1"/>
  <c r="O116" i="56"/>
  <c r="N137" i="56" s="1"/>
  <c r="O118" i="56"/>
  <c r="N139" i="56" s="1"/>
  <c r="O113" i="56"/>
  <c r="N134" i="56" s="1"/>
  <c r="O114" i="56"/>
  <c r="N135" i="56" s="1"/>
  <c r="O115" i="56"/>
  <c r="N136" i="56" s="1"/>
  <c r="U29" i="56"/>
  <c r="P204" i="57"/>
  <c r="P203" i="57"/>
  <c r="P110" i="56"/>
  <c r="Q64" i="57"/>
  <c r="J64" i="57"/>
  <c r="U34" i="56"/>
  <c r="Q138" i="57"/>
  <c r="P137" i="57"/>
  <c r="J138" i="57"/>
  <c r="Q247" i="57"/>
  <c r="AG85" i="32" l="1"/>
  <c r="AG84" i="32"/>
  <c r="R199" i="57"/>
  <c r="F22" i="56"/>
  <c r="G21" i="56"/>
  <c r="H20" i="56"/>
  <c r="P20" i="56"/>
  <c r="J20" i="56" s="1"/>
  <c r="R20" i="56"/>
  <c r="L20" i="56" s="1"/>
  <c r="W20" i="56"/>
  <c r="O20" i="56"/>
  <c r="I20" i="56" s="1"/>
  <c r="U20" i="56"/>
  <c r="X20" i="56"/>
  <c r="T20" i="56"/>
  <c r="V20" i="56"/>
  <c r="Q20" i="56"/>
  <c r="K20" i="56" s="1"/>
  <c r="N20" i="56"/>
  <c r="Q110" i="56"/>
  <c r="S197" i="57"/>
  <c r="S196" i="57"/>
  <c r="O36" i="56"/>
  <c r="J82" i="57"/>
  <c r="J85" i="57" s="1"/>
  <c r="U36" i="56"/>
  <c r="K25" i="57"/>
  <c r="J137" i="57"/>
  <c r="P30" i="56"/>
  <c r="I30" i="56"/>
  <c r="Q82" i="57"/>
  <c r="Q85" i="57" s="1"/>
  <c r="Q213" i="57"/>
  <c r="J40" i="56"/>
  <c r="W87" i="57"/>
  <c r="W90" i="57" s="1"/>
  <c r="P123" i="56"/>
  <c r="O144" i="56" s="1"/>
  <c r="P183" i="56" s="1"/>
  <c r="P116" i="56"/>
  <c r="O137" i="56" s="1"/>
  <c r="P111" i="56"/>
  <c r="O132" i="56" s="1"/>
  <c r="P120" i="56"/>
  <c r="O141" i="56" s="1"/>
  <c r="P119" i="56"/>
  <c r="O140" i="56" s="1"/>
  <c r="P118" i="56"/>
  <c r="O139" i="56" s="1"/>
  <c r="P112" i="56"/>
  <c r="O133" i="56" s="1"/>
  <c r="P113" i="56"/>
  <c r="O134" i="56" s="1"/>
  <c r="P117" i="56"/>
  <c r="O138" i="56" s="1"/>
  <c r="P114" i="56"/>
  <c r="O135" i="56" s="1"/>
  <c r="P115" i="56"/>
  <c r="O136" i="56" s="1"/>
  <c r="P29" i="56"/>
  <c r="I29" i="56"/>
  <c r="Q132" i="57"/>
  <c r="K133" i="57"/>
  <c r="Q226" i="57"/>
  <c r="P34" i="56"/>
  <c r="I34" i="56"/>
  <c r="P31" i="56"/>
  <c r="I31" i="56"/>
  <c r="P32" i="56"/>
  <c r="I32" i="56"/>
  <c r="Q40" i="56"/>
  <c r="K39" i="56"/>
  <c r="V34" i="56"/>
  <c r="W82" i="57"/>
  <c r="W85" i="57" s="1"/>
  <c r="Q77" i="57"/>
  <c r="Q80" i="57" s="1"/>
  <c r="V29" i="56"/>
  <c r="R40" i="56"/>
  <c r="L39" i="56"/>
  <c r="W26" i="57"/>
  <c r="V33" i="56"/>
  <c r="P35" i="56"/>
  <c r="I35" i="56"/>
  <c r="R107" i="56"/>
  <c r="R108" i="56"/>
  <c r="S106" i="56"/>
  <c r="R109" i="56"/>
  <c r="V40" i="56"/>
  <c r="W39" i="56"/>
  <c r="Q254" i="57"/>
  <c r="S245" i="57"/>
  <c r="S246" i="57"/>
  <c r="S244" i="57"/>
  <c r="R225" i="57"/>
  <c r="R227" i="57"/>
  <c r="R223" i="57"/>
  <c r="R224" i="57"/>
  <c r="V35" i="56"/>
  <c r="R247" i="57"/>
  <c r="V30" i="56"/>
  <c r="V31" i="56"/>
  <c r="S209" i="57"/>
  <c r="R211" i="57"/>
  <c r="S198" i="57"/>
  <c r="R210" i="57"/>
  <c r="R212" i="57"/>
  <c r="O231" i="57"/>
  <c r="O232" i="57"/>
  <c r="K64" i="57"/>
  <c r="K82" i="57" s="1"/>
  <c r="K85" i="57" s="1"/>
  <c r="J132" i="57"/>
  <c r="W137" i="57"/>
  <c r="R28" i="56"/>
  <c r="Q28" i="56"/>
  <c r="J28" i="56"/>
  <c r="V32" i="56"/>
  <c r="K26" i="57"/>
  <c r="W69" i="57"/>
  <c r="W68" i="57"/>
  <c r="W28" i="56"/>
  <c r="P33" i="56"/>
  <c r="I33" i="56"/>
  <c r="Q137" i="57"/>
  <c r="K138" i="57"/>
  <c r="Q68" i="57"/>
  <c r="K68" i="57" s="1"/>
  <c r="Q69" i="57"/>
  <c r="K69" i="57" s="1"/>
  <c r="K70" i="57"/>
  <c r="W77" i="57"/>
  <c r="W80" i="57" s="1"/>
  <c r="J77" i="57"/>
  <c r="J80" i="57" s="1"/>
  <c r="AH84" i="32" l="1"/>
  <c r="AH85" i="32"/>
  <c r="X21" i="56"/>
  <c r="T21" i="56"/>
  <c r="R21" i="56"/>
  <c r="L21" i="56" s="1"/>
  <c r="O21" i="56"/>
  <c r="I21" i="56" s="1"/>
  <c r="N21" i="56"/>
  <c r="W21" i="56"/>
  <c r="U21" i="56"/>
  <c r="V21" i="56"/>
  <c r="Q21" i="56"/>
  <c r="K21" i="56" s="1"/>
  <c r="P21" i="56"/>
  <c r="J21" i="56" s="1"/>
  <c r="H21" i="56"/>
  <c r="G22" i="56"/>
  <c r="F23" i="56"/>
  <c r="R226" i="57"/>
  <c r="T196" i="57"/>
  <c r="T197" i="57"/>
  <c r="S247" i="57"/>
  <c r="P36" i="56"/>
  <c r="K77" i="57"/>
  <c r="K80" i="57" s="1"/>
  <c r="L28" i="56"/>
  <c r="R34" i="56"/>
  <c r="Q34" i="56"/>
  <c r="J34" i="56"/>
  <c r="Q30" i="56"/>
  <c r="R30" i="56"/>
  <c r="J30" i="56"/>
  <c r="K40" i="56"/>
  <c r="W33" i="56"/>
  <c r="R31" i="56"/>
  <c r="Q31" i="56"/>
  <c r="J31" i="56"/>
  <c r="K132" i="57"/>
  <c r="W35" i="56"/>
  <c r="S109" i="56"/>
  <c r="S108" i="56"/>
  <c r="T106" i="56"/>
  <c r="S107" i="56"/>
  <c r="W29" i="56"/>
  <c r="X28" i="56"/>
  <c r="R213" i="57"/>
  <c r="R110" i="56"/>
  <c r="W30" i="56"/>
  <c r="T246" i="57"/>
  <c r="T244" i="57"/>
  <c r="R254" i="57"/>
  <c r="S224" i="57"/>
  <c r="T245" i="57"/>
  <c r="S227" i="57"/>
  <c r="S223" i="57"/>
  <c r="S225" i="57"/>
  <c r="V36" i="56"/>
  <c r="W32" i="56"/>
  <c r="S199" i="57"/>
  <c r="W31" i="56"/>
  <c r="R32" i="56"/>
  <c r="Q32" i="56"/>
  <c r="J32" i="56"/>
  <c r="S212" i="57"/>
  <c r="S211" i="57"/>
  <c r="T198" i="57"/>
  <c r="T209" i="57"/>
  <c r="S210" i="57"/>
  <c r="I36" i="56"/>
  <c r="R35" i="56"/>
  <c r="Q35" i="56"/>
  <c r="J35" i="56"/>
  <c r="W34" i="56"/>
  <c r="K28" i="56"/>
  <c r="R33" i="56"/>
  <c r="Q33" i="56"/>
  <c r="J33" i="56"/>
  <c r="K137" i="57"/>
  <c r="L40" i="56"/>
  <c r="X39" i="56"/>
  <c r="W40" i="56"/>
  <c r="R29" i="56"/>
  <c r="Q29" i="56"/>
  <c r="J29" i="56"/>
  <c r="AI85" i="32" l="1"/>
  <c r="AI84" i="32"/>
  <c r="R22" i="56"/>
  <c r="L22" i="56" s="1"/>
  <c r="X22" i="56"/>
  <c r="T22" i="56"/>
  <c r="U22" i="56" s="1"/>
  <c r="V22" i="56" s="1"/>
  <c r="W22" i="56" s="1"/>
  <c r="H22" i="56"/>
  <c r="N22" i="56"/>
  <c r="O22" i="56" s="1"/>
  <c r="G23" i="56"/>
  <c r="F24" i="56"/>
  <c r="S110" i="56"/>
  <c r="S213" i="57"/>
  <c r="T199" i="57"/>
  <c r="U196" i="57"/>
  <c r="U197" i="57"/>
  <c r="W36" i="56"/>
  <c r="L29" i="56"/>
  <c r="X34" i="56"/>
  <c r="X33" i="56"/>
  <c r="L30" i="56"/>
  <c r="K32" i="56"/>
  <c r="J36" i="56"/>
  <c r="U245" i="57"/>
  <c r="U244" i="57"/>
  <c r="U246" i="57"/>
  <c r="T227" i="57"/>
  <c r="T223" i="57"/>
  <c r="T225" i="57"/>
  <c r="T224" i="57"/>
  <c r="S254" i="57"/>
  <c r="L33" i="56"/>
  <c r="X35" i="56"/>
  <c r="K30" i="56"/>
  <c r="T247" i="57"/>
  <c r="L34" i="56"/>
  <c r="K33" i="56"/>
  <c r="K31" i="56"/>
  <c r="K34" i="56"/>
  <c r="X32" i="56"/>
  <c r="T108" i="56"/>
  <c r="U106" i="56"/>
  <c r="T109" i="56"/>
  <c r="T107" i="56"/>
  <c r="K29" i="56"/>
  <c r="Q36" i="56"/>
  <c r="L31" i="56"/>
  <c r="X30" i="56"/>
  <c r="X40" i="56"/>
  <c r="K35" i="56"/>
  <c r="T212" i="57"/>
  <c r="T211" i="57"/>
  <c r="T210" i="57"/>
  <c r="U209" i="57"/>
  <c r="U198" i="57"/>
  <c r="L32" i="56"/>
  <c r="R36" i="56"/>
  <c r="L35" i="56"/>
  <c r="X29" i="56"/>
  <c r="X31" i="56"/>
  <c r="S226" i="57"/>
  <c r="AJ84" i="32" l="1"/>
  <c r="AJ85" i="32"/>
  <c r="G24" i="56"/>
  <c r="F25" i="56"/>
  <c r="G25" i="56" s="1"/>
  <c r="R23" i="56"/>
  <c r="L23" i="56" s="1"/>
  <c r="T23" i="56"/>
  <c r="U23" i="56" s="1"/>
  <c r="V23" i="56" s="1"/>
  <c r="W23" i="56" s="1"/>
  <c r="X23" i="56"/>
  <c r="N23" i="56"/>
  <c r="O23" i="56" s="1"/>
  <c r="H23" i="56"/>
  <c r="P22" i="56"/>
  <c r="I22" i="56"/>
  <c r="T110" i="56"/>
  <c r="V196" i="57"/>
  <c r="V197" i="57"/>
  <c r="X36" i="56"/>
  <c r="U227" i="57"/>
  <c r="V246" i="57"/>
  <c r="T254" i="57"/>
  <c r="U224" i="57"/>
  <c r="U225" i="57"/>
  <c r="V244" i="57"/>
  <c r="V245" i="57"/>
  <c r="U223" i="57"/>
  <c r="U199" i="57"/>
  <c r="U212" i="57"/>
  <c r="V209" i="57"/>
  <c r="V198" i="57"/>
  <c r="U210" i="57"/>
  <c r="U211" i="57"/>
  <c r="U247" i="57"/>
  <c r="L36" i="56"/>
  <c r="T213" i="57"/>
  <c r="U108" i="56"/>
  <c r="V106" i="56"/>
  <c r="U109" i="56"/>
  <c r="U107" i="56"/>
  <c r="K36" i="56"/>
  <c r="T226" i="57"/>
  <c r="AK85" i="32" l="1"/>
  <c r="AK84" i="32"/>
  <c r="V199" i="57"/>
  <c r="J22" i="56"/>
  <c r="Q22" i="56"/>
  <c r="K22" i="56" s="1"/>
  <c r="P23" i="56"/>
  <c r="I23" i="56"/>
  <c r="N25" i="56"/>
  <c r="O25" i="56" s="1"/>
  <c r="R25" i="56"/>
  <c r="L25" i="56" s="1"/>
  <c r="T25" i="56"/>
  <c r="U25" i="56" s="1"/>
  <c r="V25" i="56" s="1"/>
  <c r="W25" i="56" s="1"/>
  <c r="X25" i="56"/>
  <c r="H25" i="56"/>
  <c r="R24" i="56"/>
  <c r="L24" i="56" s="1"/>
  <c r="H24" i="56"/>
  <c r="X24" i="56"/>
  <c r="T24" i="56"/>
  <c r="U24" i="56" s="1"/>
  <c r="V24" i="56" s="1"/>
  <c r="W24" i="56" s="1"/>
  <c r="N24" i="56"/>
  <c r="O24" i="56" s="1"/>
  <c r="U226" i="57"/>
  <c r="V247" i="57"/>
  <c r="U213" i="57"/>
  <c r="W196" i="57"/>
  <c r="W197" i="57"/>
  <c r="W209" i="57"/>
  <c r="V211" i="57"/>
  <c r="V210" i="57"/>
  <c r="V212" i="57"/>
  <c r="W198" i="57"/>
  <c r="V109" i="56"/>
  <c r="V107" i="56"/>
  <c r="W106" i="56"/>
  <c r="V108" i="56"/>
  <c r="U110" i="56"/>
  <c r="W244" i="57"/>
  <c r="U254" i="57"/>
  <c r="V223" i="57"/>
  <c r="W245" i="57"/>
  <c r="V225" i="57"/>
  <c r="W246" i="57"/>
  <c r="V227" i="57"/>
  <c r="V224" i="57"/>
  <c r="AL84" i="32" l="1"/>
  <c r="AL85" i="32"/>
  <c r="Q23" i="56"/>
  <c r="K23" i="56" s="1"/>
  <c r="J23" i="56"/>
  <c r="I24" i="56"/>
  <c r="P24" i="56"/>
  <c r="P25" i="56"/>
  <c r="I25" i="56"/>
  <c r="V110" i="56"/>
  <c r="V213" i="57"/>
  <c r="X197" i="57"/>
  <c r="X196" i="57"/>
  <c r="W247" i="57"/>
  <c r="X198" i="57"/>
  <c r="W210" i="57"/>
  <c r="W211" i="57"/>
  <c r="W212" i="57"/>
  <c r="X209" i="57"/>
  <c r="X246" i="57"/>
  <c r="V254" i="57"/>
  <c r="X245" i="57"/>
  <c r="W227" i="57"/>
  <c r="W224" i="57"/>
  <c r="X244" i="57"/>
  <c r="W225" i="57"/>
  <c r="W223" i="57"/>
  <c r="V226" i="57"/>
  <c r="W107" i="56"/>
  <c r="W108" i="56"/>
  <c r="X106" i="56"/>
  <c r="W109" i="56"/>
  <c r="W199" i="57"/>
  <c r="AM85" i="32" l="1"/>
  <c r="AM84" i="32"/>
  <c r="Q24" i="56"/>
  <c r="K24" i="56" s="1"/>
  <c r="J24" i="56"/>
  <c r="Q25" i="56"/>
  <c r="K25" i="56" s="1"/>
  <c r="J25" i="56"/>
  <c r="W226" i="57"/>
  <c r="Y196" i="57"/>
  <c r="Y197" i="57"/>
  <c r="X247" i="57"/>
  <c r="X211" i="57"/>
  <c r="X212" i="57"/>
  <c r="X210" i="57"/>
  <c r="Y209" i="57"/>
  <c r="Y198" i="57"/>
  <c r="X199" i="57"/>
  <c r="W110" i="56"/>
  <c r="Y244" i="57"/>
  <c r="W254" i="57"/>
  <c r="Y245" i="57"/>
  <c r="Y246" i="57"/>
  <c r="X225" i="57"/>
  <c r="X224" i="57"/>
  <c r="X223" i="57"/>
  <c r="X227" i="57"/>
  <c r="W213" i="57"/>
  <c r="X108" i="56"/>
  <c r="X107" i="56"/>
  <c r="Y106" i="56"/>
  <c r="X109" i="56"/>
  <c r="AN84" i="32" l="1"/>
  <c r="AN85" i="32"/>
  <c r="X110" i="56"/>
  <c r="X226" i="57"/>
  <c r="X213" i="57"/>
  <c r="Z196" i="57"/>
  <c r="Z197" i="57"/>
  <c r="Y199" i="57"/>
  <c r="Y210" i="57"/>
  <c r="Y212" i="57"/>
  <c r="Z209" i="57"/>
  <c r="Z198" i="57"/>
  <c r="Z199" i="57" s="1"/>
  <c r="Y211" i="57"/>
  <c r="Y247" i="57"/>
  <c r="Z246" i="57"/>
  <c r="Z245" i="57"/>
  <c r="X254" i="57"/>
  <c r="Y223" i="57"/>
  <c r="Y225" i="57"/>
  <c r="Y224" i="57"/>
  <c r="Y227" i="57"/>
  <c r="Z244" i="57"/>
  <c r="Y107" i="56"/>
  <c r="Y108" i="56"/>
  <c r="Z106" i="56"/>
  <c r="Y109" i="56"/>
  <c r="AO85" i="32" l="1"/>
  <c r="AO84" i="32"/>
  <c r="Y213" i="57"/>
  <c r="AA197" i="57"/>
  <c r="AA196" i="57"/>
  <c r="Y226" i="57"/>
  <c r="Z212" i="57"/>
  <c r="Z211" i="57"/>
  <c r="AA209" i="57"/>
  <c r="Z210" i="57"/>
  <c r="AA198" i="57"/>
  <c r="Z109" i="56"/>
  <c r="AA106" i="56"/>
  <c r="Z107" i="56"/>
  <c r="Z108" i="56"/>
  <c r="Y110" i="56"/>
  <c r="Z247" i="57"/>
  <c r="AA244" i="57"/>
  <c r="Y254" i="57"/>
  <c r="AA245" i="57"/>
  <c r="Z225" i="57"/>
  <c r="Z223" i="57"/>
  <c r="Z227" i="57"/>
  <c r="Z224" i="57"/>
  <c r="AA246" i="57"/>
  <c r="AP84" i="32" l="1"/>
  <c r="AP85" i="32"/>
  <c r="AA199" i="57"/>
  <c r="Z213" i="57"/>
  <c r="AB197" i="57"/>
  <c r="AB196" i="57"/>
  <c r="Z226" i="57"/>
  <c r="Z110" i="56"/>
  <c r="AA109" i="56"/>
  <c r="AA108" i="56"/>
  <c r="AB106" i="56"/>
  <c r="AA107" i="56"/>
  <c r="AA211" i="57"/>
  <c r="AB198" i="57"/>
  <c r="AA212" i="57"/>
  <c r="AB209" i="57"/>
  <c r="AA210" i="57"/>
  <c r="AB244" i="57"/>
  <c r="AA223" i="57"/>
  <c r="AA227" i="57"/>
  <c r="AA224" i="57"/>
  <c r="AB245" i="57"/>
  <c r="AA225" i="57"/>
  <c r="AB246" i="57"/>
  <c r="Z254" i="57"/>
  <c r="AA247" i="57"/>
  <c r="AC196" i="57" l="1"/>
  <c r="AC197" i="57"/>
  <c r="AB247" i="57"/>
  <c r="AA213" i="57"/>
  <c r="AB199" i="57"/>
  <c r="AA110" i="56"/>
  <c r="AA254" i="57"/>
  <c r="AC245" i="57"/>
  <c r="AC246" i="57"/>
  <c r="AB225" i="57"/>
  <c r="AB223" i="57"/>
  <c r="AB227" i="57"/>
  <c r="AB224" i="57"/>
  <c r="AC244" i="57"/>
  <c r="AB210" i="57"/>
  <c r="AB212" i="57"/>
  <c r="AC209" i="57"/>
  <c r="AC198" i="57"/>
  <c r="AB211" i="57"/>
  <c r="AA226" i="57"/>
  <c r="AC106" i="56"/>
  <c r="AB109" i="56"/>
  <c r="AB108" i="56"/>
  <c r="AB107" i="56"/>
  <c r="AB110" i="56" l="1"/>
  <c r="AB226" i="57"/>
  <c r="AD196" i="57"/>
  <c r="AD197" i="57"/>
  <c r="AB213" i="57"/>
  <c r="AC210" i="57"/>
  <c r="AC212" i="57"/>
  <c r="AD209" i="57"/>
  <c r="AD198" i="57"/>
  <c r="AC211" i="57"/>
  <c r="AC247" i="57"/>
  <c r="AD246" i="57"/>
  <c r="AD244" i="57"/>
  <c r="AD245" i="57"/>
  <c r="AC227" i="57"/>
  <c r="AC224" i="57"/>
  <c r="AC223" i="57"/>
  <c r="AB254" i="57"/>
  <c r="AC225" i="57"/>
  <c r="AC107" i="56"/>
  <c r="AD106" i="56"/>
  <c r="AC108" i="56"/>
  <c r="AC109" i="56"/>
  <c r="AC199" i="57"/>
  <c r="AC226" i="57" l="1"/>
  <c r="AE196" i="57"/>
  <c r="AE197" i="57"/>
  <c r="AD247" i="57"/>
  <c r="AC254" i="57"/>
  <c r="AE245" i="57"/>
  <c r="AE246" i="57"/>
  <c r="AE244" i="57"/>
  <c r="AD225" i="57"/>
  <c r="AD223" i="57"/>
  <c r="AD227" i="57"/>
  <c r="AD224" i="57"/>
  <c r="AD107" i="56"/>
  <c r="AE106" i="56"/>
  <c r="AD109" i="56"/>
  <c r="AD108" i="56"/>
  <c r="AD212" i="57"/>
  <c r="AE209" i="57"/>
  <c r="AD211" i="57"/>
  <c r="AE198" i="57"/>
  <c r="AD210" i="57"/>
  <c r="AC110" i="56"/>
  <c r="AD199" i="57"/>
  <c r="AC213" i="57"/>
  <c r="AE247" i="57" l="1"/>
  <c r="AF197" i="57"/>
  <c r="AF196" i="57"/>
  <c r="AF246" i="57"/>
  <c r="AF244" i="57"/>
  <c r="AE227" i="57"/>
  <c r="AE224" i="57"/>
  <c r="AD254" i="57"/>
  <c r="AF245" i="57"/>
  <c r="AE225" i="57"/>
  <c r="AE223" i="57"/>
  <c r="AD226" i="57"/>
  <c r="AE109" i="56"/>
  <c r="AF106" i="56"/>
  <c r="AE108" i="56"/>
  <c r="AE107" i="56"/>
  <c r="AD110" i="56"/>
  <c r="AD213" i="57"/>
  <c r="AE211" i="57"/>
  <c r="AF198" i="57"/>
  <c r="AF199" i="57" s="1"/>
  <c r="AE210" i="57"/>
  <c r="AF209" i="57"/>
  <c r="AE212" i="57"/>
  <c r="AE199" i="57"/>
  <c r="AE213" i="57" l="1"/>
  <c r="AE226" i="57"/>
  <c r="AG196" i="57"/>
  <c r="AG197" i="57"/>
  <c r="AF212" i="57"/>
  <c r="AF211" i="57"/>
  <c r="AF210" i="57"/>
  <c r="AG209" i="57"/>
  <c r="AG198" i="57"/>
  <c r="AF247" i="57"/>
  <c r="AE110" i="56"/>
  <c r="AG245" i="57"/>
  <c r="AG244" i="57"/>
  <c r="AF223" i="57"/>
  <c r="AE254" i="57"/>
  <c r="AG246" i="57"/>
  <c r="AF227" i="57"/>
  <c r="AF224" i="57"/>
  <c r="AF225" i="57"/>
  <c r="AF108" i="56"/>
  <c r="AG106" i="56"/>
  <c r="AF109" i="56"/>
  <c r="AF107" i="56"/>
  <c r="AF110" i="56" l="1"/>
  <c r="AF213" i="57"/>
  <c r="AH196" i="57"/>
  <c r="AH197" i="57"/>
  <c r="AG227" i="57"/>
  <c r="AH246" i="57"/>
  <c r="AF254" i="57"/>
  <c r="AH245" i="57"/>
  <c r="AH244" i="57"/>
  <c r="AG224" i="57"/>
  <c r="AG225" i="57"/>
  <c r="AG223" i="57"/>
  <c r="AF226" i="57"/>
  <c r="AH209" i="57"/>
  <c r="AG211" i="57"/>
  <c r="AH198" i="57"/>
  <c r="AG210" i="57"/>
  <c r="AG212" i="57"/>
  <c r="AG247" i="57"/>
  <c r="AG199" i="57"/>
  <c r="AG107" i="56"/>
  <c r="AG108" i="56"/>
  <c r="AH106" i="56"/>
  <c r="AG109" i="56"/>
  <c r="AG110" i="56" l="1"/>
  <c r="AH199" i="57"/>
  <c r="AG226" i="57"/>
  <c r="AI196" i="57"/>
  <c r="AI197" i="57"/>
  <c r="AI209" i="57"/>
  <c r="AH212" i="57"/>
  <c r="AH210" i="57"/>
  <c r="AH211" i="57"/>
  <c r="AI198" i="57"/>
  <c r="AH109" i="56"/>
  <c r="AH108" i="56"/>
  <c r="AI106" i="56"/>
  <c r="AH107" i="56"/>
  <c r="AH247" i="57"/>
  <c r="AG213" i="57"/>
  <c r="AI244" i="57"/>
  <c r="AG254" i="57"/>
  <c r="AH223" i="57"/>
  <c r="AH227" i="57"/>
  <c r="AI246" i="57"/>
  <c r="AH225" i="57"/>
  <c r="AI245" i="57"/>
  <c r="AH224" i="57"/>
  <c r="AH213" i="57" l="1"/>
  <c r="AJ197" i="57"/>
  <c r="AJ196" i="57"/>
  <c r="AI227" i="57"/>
  <c r="AJ246" i="57"/>
  <c r="AH254" i="57"/>
  <c r="AJ245" i="57"/>
  <c r="AI224" i="57"/>
  <c r="AI225" i="57"/>
  <c r="AJ244" i="57"/>
  <c r="AI223" i="57"/>
  <c r="AH226" i="57"/>
  <c r="AH110" i="56"/>
  <c r="AI107" i="56"/>
  <c r="AI109" i="56"/>
  <c r="AJ106" i="56"/>
  <c r="AI108" i="56"/>
  <c r="AI199" i="57"/>
  <c r="AI247" i="57"/>
  <c r="AI212" i="57"/>
  <c r="AI211" i="57"/>
  <c r="AJ198" i="57"/>
  <c r="AI210" i="57"/>
  <c r="AJ209" i="57"/>
  <c r="AI110" i="56" l="1"/>
  <c r="AI213" i="57"/>
  <c r="AK196" i="57"/>
  <c r="AK197" i="57"/>
  <c r="AJ211" i="57"/>
  <c r="AK198" i="57"/>
  <c r="AK209" i="57"/>
  <c r="AJ210" i="57"/>
  <c r="AJ212" i="57"/>
  <c r="AJ199" i="57"/>
  <c r="AJ108" i="56"/>
  <c r="AJ109" i="56"/>
  <c r="AJ107" i="56"/>
  <c r="AK106" i="56"/>
  <c r="AK244" i="57"/>
  <c r="AI254" i="57"/>
  <c r="AK245" i="57"/>
  <c r="AJ225" i="57"/>
  <c r="AK246" i="57"/>
  <c r="AJ224" i="57"/>
  <c r="AJ227" i="57"/>
  <c r="AJ223" i="57"/>
  <c r="AI226" i="57"/>
  <c r="AJ247" i="57"/>
  <c r="AK199" i="57" l="1"/>
  <c r="AL197" i="57"/>
  <c r="AL196" i="57"/>
  <c r="AK247" i="57"/>
  <c r="AK107" i="56"/>
  <c r="AK108" i="56"/>
  <c r="AL106" i="56"/>
  <c r="AK109" i="56"/>
  <c r="AJ110" i="56"/>
  <c r="AJ226" i="57"/>
  <c r="AL246" i="57"/>
  <c r="AL245" i="57"/>
  <c r="AK227" i="57"/>
  <c r="AJ254" i="57"/>
  <c r="AK223" i="57"/>
  <c r="AL244" i="57"/>
  <c r="AK224" i="57"/>
  <c r="AK225" i="57"/>
  <c r="AJ213" i="57"/>
  <c r="AK210" i="57"/>
  <c r="AL209" i="57"/>
  <c r="AK212" i="57"/>
  <c r="AL198" i="57"/>
  <c r="AK211" i="57"/>
  <c r="AL199" i="57" l="1"/>
  <c r="AK110" i="56"/>
  <c r="AM197" i="57"/>
  <c r="AM196" i="57"/>
  <c r="AK226" i="57"/>
  <c r="AL212" i="57"/>
  <c r="AL211" i="57"/>
  <c r="AL210" i="57"/>
  <c r="AM198" i="57"/>
  <c r="AL108" i="56"/>
  <c r="AM106" i="56"/>
  <c r="AL109" i="56"/>
  <c r="AL107" i="56"/>
  <c r="AL247" i="57"/>
  <c r="AK213" i="57"/>
  <c r="AM244" i="57"/>
  <c r="AK254" i="57"/>
  <c r="AM245" i="57"/>
  <c r="AL225" i="57"/>
  <c r="AM246" i="57"/>
  <c r="AL223" i="57"/>
  <c r="AL224" i="57"/>
  <c r="AL227" i="57"/>
  <c r="AM199" i="57" l="1"/>
  <c r="AL213" i="57"/>
  <c r="AM247" i="57"/>
  <c r="AL110" i="56"/>
  <c r="AL254" i="57"/>
  <c r="AM223" i="57"/>
  <c r="AM224" i="57"/>
  <c r="AN244" i="57"/>
  <c r="AM225" i="57"/>
  <c r="AM227" i="57"/>
  <c r="AN246" i="57"/>
  <c r="AN245" i="57"/>
  <c r="AM109" i="56"/>
  <c r="AM108" i="56"/>
  <c r="AN106" i="56"/>
  <c r="AM107" i="56"/>
  <c r="AL226" i="57"/>
  <c r="AM110" i="56" l="1"/>
  <c r="AM226" i="57"/>
  <c r="AN107" i="56"/>
  <c r="AO106" i="56"/>
  <c r="AN108" i="56"/>
  <c r="AN109" i="56"/>
  <c r="AM254" i="57"/>
  <c r="AO245" i="57"/>
  <c r="AO246" i="57"/>
  <c r="AN225" i="57"/>
  <c r="AN223" i="57"/>
  <c r="AN224" i="57"/>
  <c r="AO244" i="57"/>
  <c r="AN227" i="57"/>
  <c r="AN247" i="57"/>
  <c r="AN110" i="56" l="1"/>
  <c r="AO247" i="57"/>
  <c r="AN226" i="57"/>
  <c r="AP246" i="57"/>
  <c r="AP244" i="57"/>
  <c r="AO224" i="57"/>
  <c r="AO227" i="57"/>
  <c r="AP245" i="57"/>
  <c r="AO223" i="57"/>
  <c r="AN254" i="57"/>
  <c r="AO225" i="57"/>
  <c r="AO108" i="56"/>
  <c r="AP106" i="56"/>
  <c r="AO109" i="56"/>
  <c r="AO107" i="56"/>
  <c r="AO110" i="56" l="1"/>
  <c r="AP247" i="57"/>
  <c r="AO226" i="57"/>
  <c r="AP107" i="56"/>
  <c r="AP108" i="56"/>
  <c r="AP109" i="56"/>
  <c r="AQ106" i="56"/>
  <c r="AO254" i="57"/>
  <c r="AQ245" i="57"/>
  <c r="AQ246" i="57"/>
  <c r="AQ244" i="57"/>
  <c r="AP225" i="57"/>
  <c r="AP223" i="57"/>
  <c r="AP227" i="57"/>
  <c r="AP224" i="57"/>
  <c r="AP110" i="56" l="1"/>
  <c r="AP226" i="57"/>
  <c r="AQ247" i="57"/>
  <c r="AQ109" i="56"/>
  <c r="AR106" i="56"/>
  <c r="AQ107" i="56"/>
  <c r="AQ108" i="56"/>
  <c r="AR246" i="57"/>
  <c r="AR244" i="57"/>
  <c r="AP254" i="57"/>
  <c r="AQ224" i="57"/>
  <c r="AQ227" i="57"/>
  <c r="AR245" i="57"/>
  <c r="AQ223" i="57"/>
  <c r="AQ225" i="57"/>
  <c r="AQ226" i="57" l="1"/>
  <c r="AR223" i="57"/>
  <c r="AQ254" i="57"/>
  <c r="AR227" i="57"/>
  <c r="AR225" i="57"/>
  <c r="AR224" i="57"/>
  <c r="AR247" i="57"/>
  <c r="AQ110" i="56"/>
  <c r="AR108" i="56"/>
  <c r="AS106" i="56"/>
  <c r="AR109" i="56"/>
  <c r="AR107" i="56"/>
  <c r="AR110" i="56" l="1"/>
  <c r="AS109" i="56"/>
  <c r="AS107" i="56"/>
  <c r="AS108" i="56"/>
  <c r="AT106" i="56"/>
  <c r="AS227" i="57"/>
  <c r="AR254" i="57"/>
  <c r="AS224" i="57"/>
  <c r="AS225" i="57"/>
  <c r="AS223" i="57"/>
  <c r="AS245" i="57"/>
  <c r="AS244" i="57"/>
  <c r="AS246" i="57"/>
  <c r="AR226" i="57"/>
  <c r="AS226" i="57" l="1"/>
  <c r="AT246" i="57"/>
  <c r="AS254" i="57"/>
  <c r="AT245" i="57"/>
  <c r="AT244" i="57"/>
  <c r="AS247" i="57"/>
  <c r="AT223" i="57"/>
  <c r="AT227" i="57"/>
  <c r="AT225" i="57"/>
  <c r="AT224" i="57"/>
  <c r="AT109" i="56"/>
  <c r="AU106" i="56"/>
  <c r="AT107" i="56"/>
  <c r="AT108" i="56"/>
  <c r="AS110" i="56"/>
  <c r="AT247" i="57" l="1"/>
  <c r="AU244" i="57"/>
  <c r="AT254" i="57"/>
  <c r="AU245" i="57"/>
  <c r="AU246" i="57"/>
  <c r="AT110" i="56"/>
  <c r="AU107" i="56"/>
  <c r="AV106" i="56"/>
  <c r="AU109" i="56"/>
  <c r="AU108" i="56"/>
  <c r="AU227" i="57"/>
  <c r="AU224" i="57"/>
  <c r="AU225" i="57"/>
  <c r="AU223" i="57"/>
  <c r="AT226" i="57"/>
  <c r="AU226" i="57" l="1"/>
  <c r="AV246" i="57"/>
  <c r="AU254" i="57"/>
  <c r="AV245" i="57"/>
  <c r="AV244" i="57"/>
  <c r="AU247" i="57"/>
  <c r="AV225" i="57"/>
  <c r="AV227" i="57"/>
  <c r="AV224" i="57"/>
  <c r="AV223" i="57"/>
  <c r="AV108" i="56"/>
  <c r="AV107" i="56"/>
  <c r="AV109" i="56"/>
  <c r="AW106" i="56"/>
  <c r="AU110" i="56"/>
  <c r="AV247" i="57" l="1"/>
  <c r="AW223" i="57"/>
  <c r="AW224" i="57"/>
  <c r="AW225" i="57"/>
  <c r="AW244" i="57"/>
  <c r="AW245" i="57"/>
  <c r="AV254" i="57"/>
  <c r="AW246" i="57"/>
  <c r="AW107" i="56"/>
  <c r="AW108" i="56"/>
  <c r="AW109" i="56"/>
  <c r="AV110" i="56"/>
  <c r="AV226" i="57"/>
  <c r="AW226" i="57" l="1"/>
  <c r="AW247" i="57"/>
  <c r="AW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J244" i="55"/>
  <c r="D244" i="55"/>
  <c r="A244" i="55"/>
  <c r="D243" i="55"/>
  <c r="O243" i="55" s="1"/>
  <c r="A243" i="55"/>
  <c r="D242" i="55"/>
  <c r="J242" i="55" s="1"/>
  <c r="A242" i="55"/>
  <c r="D241" i="55"/>
  <c r="O241" i="55" s="1"/>
  <c r="N241" i="55" s="1"/>
  <c r="A241" i="55"/>
  <c r="D240" i="55"/>
  <c r="A240" i="55"/>
  <c r="D239" i="55"/>
  <c r="O239" i="55" s="1"/>
  <c r="A239" i="55"/>
  <c r="D238" i="55"/>
  <c r="J238" i="55" s="1"/>
  <c r="A238" i="55"/>
  <c r="D237" i="55"/>
  <c r="A237" i="55"/>
  <c r="D236" i="55"/>
  <c r="J236" i="55" s="1"/>
  <c r="A236" i="55"/>
  <c r="D235" i="55"/>
  <c r="J235" i="55" s="1"/>
  <c r="A235" i="55"/>
  <c r="D234" i="55"/>
  <c r="O234" i="55" s="1"/>
  <c r="A234" i="55"/>
  <c r="D233" i="55"/>
  <c r="O233" i="55" s="1"/>
  <c r="M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B211"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J202" i="55"/>
  <c r="D202" i="55"/>
  <c r="A202" i="55"/>
  <c r="D201" i="55"/>
  <c r="A201" i="55"/>
  <c r="D200" i="55"/>
  <c r="O200" i="55" s="1"/>
  <c r="N200" i="55" s="1"/>
  <c r="A200" i="55"/>
  <c r="D199" i="55"/>
  <c r="A199" i="55"/>
  <c r="D198" i="55"/>
  <c r="O198" i="55" s="1"/>
  <c r="M198" i="55" s="1"/>
  <c r="A198" i="55"/>
  <c r="D197" i="55"/>
  <c r="O197" i="55" s="1"/>
  <c r="N197" i="55" s="1"/>
  <c r="A197" i="55"/>
  <c r="D196" i="55"/>
  <c r="O196" i="55" s="1"/>
  <c r="M196" i="55" s="1"/>
  <c r="A196" i="55"/>
  <c r="D195" i="55"/>
  <c r="O195" i="55" s="1"/>
  <c r="A195" i="55"/>
  <c r="D194" i="55"/>
  <c r="O194" i="55" s="1"/>
  <c r="M194" i="55" s="1"/>
  <c r="A194" i="55"/>
  <c r="D193" i="55"/>
  <c r="O193" i="55" s="1"/>
  <c r="N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A165" i="55"/>
  <c r="D164" i="55"/>
  <c r="J164" i="55" s="1"/>
  <c r="A164" i="55"/>
  <c r="D163" i="55"/>
  <c r="A163" i="55"/>
  <c r="D162" i="55"/>
  <c r="O162" i="55" s="1"/>
  <c r="A162" i="55"/>
  <c r="D161" i="55"/>
  <c r="J161" i="55" s="1"/>
  <c r="A161" i="55"/>
  <c r="D160" i="55"/>
  <c r="O160" i="55" s="1"/>
  <c r="A160" i="55"/>
  <c r="D159" i="55"/>
  <c r="O159" i="55" s="1"/>
  <c r="A159" i="55"/>
  <c r="D158" i="55"/>
  <c r="J158" i="55" s="1"/>
  <c r="A158" i="55"/>
  <c r="D157" i="55"/>
  <c r="O157" i="55" s="1"/>
  <c r="A157" i="55"/>
  <c r="D156" i="55"/>
  <c r="O156" i="55" s="1"/>
  <c r="M156" i="55" s="1"/>
  <c r="A156" i="55"/>
  <c r="D155" i="55"/>
  <c r="O155" i="55" s="1"/>
  <c r="M155" i="55" s="1"/>
  <c r="A155" i="55"/>
  <c r="A154" i="55"/>
  <c r="D153" i="55"/>
  <c r="J153" i="55" s="1"/>
  <c r="A153" i="55"/>
  <c r="D152" i="55"/>
  <c r="J152" i="55" s="1"/>
  <c r="A152" i="55"/>
  <c r="D151" i="55"/>
  <c r="J151" i="55" s="1"/>
  <c r="A151" i="55"/>
  <c r="D150" i="55"/>
  <c r="J150" i="55" s="1"/>
  <c r="A150" i="55"/>
  <c r="D149" i="55"/>
  <c r="J149" i="55" s="1"/>
  <c r="A149" i="55"/>
  <c r="D148" i="55"/>
  <c r="J148" i="55" s="1"/>
  <c r="A148" i="55"/>
  <c r="D147" i="55"/>
  <c r="J147" i="55" s="1"/>
  <c r="A147" i="55"/>
  <c r="D146" i="55"/>
  <c r="J146" i="55" s="1"/>
  <c r="A146" i="55"/>
  <c r="D145" i="55"/>
  <c r="J145" i="55" s="1"/>
  <c r="A145" i="55"/>
  <c r="D144" i="55"/>
  <c r="A144" i="55"/>
  <c r="D143" i="55"/>
  <c r="J143" i="55" s="1"/>
  <c r="A143" i="55"/>
  <c r="D142" i="55"/>
  <c r="J142" i="55" s="1"/>
  <c r="A142" i="55"/>
  <c r="D141" i="55"/>
  <c r="A141" i="55"/>
  <c r="D140" i="55"/>
  <c r="O140" i="55" s="1"/>
  <c r="M140" i="55" s="1"/>
  <c r="A140" i="55"/>
  <c r="D139" i="55"/>
  <c r="A139" i="55"/>
  <c r="D138" i="55"/>
  <c r="O138" i="55" s="1"/>
  <c r="A138" i="55"/>
  <c r="D137" i="55"/>
  <c r="O137" i="55" s="1"/>
  <c r="A137" i="55"/>
  <c r="D136" i="55"/>
  <c r="O136" i="55" s="1"/>
  <c r="A136" i="55"/>
  <c r="D135" i="55"/>
  <c r="J135" i="55" s="1"/>
  <c r="A135" i="55"/>
  <c r="D134" i="55"/>
  <c r="O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B91" i="55"/>
  <c r="A91" i="55"/>
  <c r="D90" i="55"/>
  <c r="J90" i="55" s="1"/>
  <c r="A90" i="55"/>
  <c r="D89" i="55"/>
  <c r="J89" i="55" s="1"/>
  <c r="A89" i="55"/>
  <c r="D88" i="55"/>
  <c r="J88" i="55" s="1"/>
  <c r="A88" i="55"/>
  <c r="D87" i="55"/>
  <c r="J87" i="55" s="1"/>
  <c r="A87" i="55"/>
  <c r="D86" i="55"/>
  <c r="J86" i="55" s="1"/>
  <c r="A86" i="55"/>
  <c r="D85" i="55"/>
  <c r="J85" i="55" s="1"/>
  <c r="A85" i="55"/>
  <c r="D84" i="55"/>
  <c r="J84" i="55" s="1"/>
  <c r="A84" i="55"/>
  <c r="D83" i="55"/>
  <c r="J83" i="55" s="1"/>
  <c r="A83" i="55"/>
  <c r="D82" i="55"/>
  <c r="J82" i="55" s="1"/>
  <c r="A82" i="55"/>
  <c r="D81" i="55"/>
  <c r="J81" i="55" s="1"/>
  <c r="A81" i="55"/>
  <c r="D80" i="55"/>
  <c r="J80" i="55" s="1"/>
  <c r="A80" i="55"/>
  <c r="D79" i="55"/>
  <c r="A79" i="55"/>
  <c r="D78" i="55"/>
  <c r="O78" i="55" s="1"/>
  <c r="A78" i="55"/>
  <c r="D77" i="55"/>
  <c r="A77" i="55"/>
  <c r="D76" i="55"/>
  <c r="J76" i="55" s="1"/>
  <c r="A76" i="55"/>
  <c r="D75" i="55"/>
  <c r="J75" i="55" s="1"/>
  <c r="A75" i="55"/>
  <c r="D74" i="55"/>
  <c r="A74" i="55"/>
  <c r="D73" i="55"/>
  <c r="J73" i="55" s="1"/>
  <c r="A73" i="55"/>
  <c r="D72" i="55"/>
  <c r="O72" i="55" s="1"/>
  <c r="A72" i="55"/>
  <c r="D71" i="55"/>
  <c r="O71" i="55" s="1"/>
  <c r="A7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O37" i="55"/>
  <c r="N37" i="55"/>
  <c r="M37" i="55"/>
  <c r="L37" i="55"/>
  <c r="K37" i="55"/>
  <c r="J37" i="55"/>
  <c r="D37" i="55"/>
  <c r="O36" i="55"/>
  <c r="N36" i="55"/>
  <c r="M36" i="55"/>
  <c r="L36" i="55"/>
  <c r="K36" i="55"/>
  <c r="J36" i="55"/>
  <c r="D36" i="55"/>
  <c r="D35" i="55"/>
  <c r="O34" i="55"/>
  <c r="N34" i="55"/>
  <c r="M34" i="55"/>
  <c r="L34" i="55"/>
  <c r="K34" i="55"/>
  <c r="J34" i="55"/>
  <c r="D34" i="55"/>
  <c r="O33" i="55"/>
  <c r="N33" i="55"/>
  <c r="M33" i="55"/>
  <c r="L33" i="55"/>
  <c r="K33" i="55"/>
  <c r="J33" i="55"/>
  <c r="D33" i="55"/>
  <c r="O32" i="55"/>
  <c r="N32" i="55"/>
  <c r="M32" i="55"/>
  <c r="L32" i="55"/>
  <c r="K32" i="55"/>
  <c r="J32" i="55"/>
  <c r="D32" i="55"/>
  <c r="O31" i="55"/>
  <c r="N31" i="55"/>
  <c r="M31" i="55"/>
  <c r="L31" i="55"/>
  <c r="K31" i="55"/>
  <c r="J31" i="55"/>
  <c r="D31" i="55"/>
  <c r="D30" i="55"/>
  <c r="D29" i="55"/>
  <c r="O28" i="55"/>
  <c r="N28" i="55"/>
  <c r="M28" i="55"/>
  <c r="L28" i="55"/>
  <c r="K28" i="55"/>
  <c r="J28" i="55"/>
  <c r="D28" i="55"/>
  <c r="O27" i="55"/>
  <c r="N27" i="55"/>
  <c r="M27" i="55"/>
  <c r="L27" i="55"/>
  <c r="K27" i="55"/>
  <c r="J27" i="55"/>
  <c r="D27" i="55"/>
  <c r="D26" i="55"/>
  <c r="D22" i="55"/>
  <c r="A38" i="55" s="1"/>
  <c r="C22" i="55"/>
  <c r="C53" i="55" s="1"/>
  <c r="B22" i="55"/>
  <c r="D20" i="55"/>
  <c r="D21" i="55" s="1"/>
  <c r="A37" i="55" s="1"/>
  <c r="C20" i="55"/>
  <c r="B20" i="55"/>
  <c r="D19" i="55"/>
  <c r="A35" i="55" s="1"/>
  <c r="C19" i="55"/>
  <c r="B19" i="55"/>
  <c r="D15" i="55"/>
  <c r="D16" i="55" s="1"/>
  <c r="A32" i="55" s="1"/>
  <c r="C15" i="55"/>
  <c r="C16" i="55" s="1"/>
  <c r="B15" i="55"/>
  <c r="D14" i="55"/>
  <c r="A30" i="55" s="1"/>
  <c r="C14" i="55"/>
  <c r="C45" i="55" s="1"/>
  <c r="B14" i="55"/>
  <c r="D13" i="55"/>
  <c r="A29" i="55" s="1"/>
  <c r="C13" i="55"/>
  <c r="C44" i="55" s="1"/>
  <c r="B13" i="55"/>
  <c r="D12" i="55"/>
  <c r="A28" i="55" s="1"/>
  <c r="C12" i="55"/>
  <c r="C43" i="55" s="1"/>
  <c r="B12" i="55"/>
  <c r="D11" i="55"/>
  <c r="A27" i="55" s="1"/>
  <c r="C11" i="55"/>
  <c r="C42" i="55" s="1"/>
  <c r="B11" i="55"/>
  <c r="D10" i="55"/>
  <c r="A26" i="55" s="1"/>
  <c r="C10" i="55"/>
  <c r="C41" i="55" s="1"/>
  <c r="B10"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AJ6" i="55"/>
  <c r="Y6" i="55"/>
  <c r="Y7" i="55" s="1"/>
  <c r="L6" i="55"/>
  <c r="M6" i="55"/>
  <c r="M7" i="55" s="1"/>
  <c r="AH6" i="55"/>
  <c r="AH7" i="55" s="1"/>
  <c r="AK6" i="55"/>
  <c r="AK7" i="55" s="1"/>
  <c r="D91" i="55"/>
  <c r="J138" i="55"/>
  <c r="J137" i="55"/>
  <c r="B44" i="55"/>
  <c r="O151" i="55"/>
  <c r="N151" i="55" s="1"/>
  <c r="B43" i="55"/>
  <c r="B21" i="55"/>
  <c r="D70" i="55"/>
  <c r="B53" i="55"/>
  <c r="B45" i="55"/>
  <c r="O75" i="55"/>
  <c r="N75" i="55" s="1"/>
  <c r="O135" i="55"/>
  <c r="N135" i="55" s="1"/>
  <c r="N140" i="55"/>
  <c r="O235" i="55"/>
  <c r="N235" i="55" s="1"/>
  <c r="O238" i="55"/>
  <c r="N196" i="55"/>
  <c r="J156" i="55"/>
  <c r="N195" i="55"/>
  <c r="M195" i="55"/>
  <c r="J193" i="55"/>
  <c r="M193" i="55"/>
  <c r="O161" i="55"/>
  <c r="M161" i="55" s="1"/>
  <c r="B51" i="55"/>
  <c r="O142" i="55"/>
  <c r="M142" i="55" s="1"/>
  <c r="J195" i="55"/>
  <c r="M200" i="55"/>
  <c r="J253" i="55"/>
  <c r="J159" i="55"/>
  <c r="J243" i="55"/>
  <c r="N234" i="55"/>
  <c r="M234" i="55"/>
  <c r="N157" i="55"/>
  <c r="M157" i="55"/>
  <c r="N71" i="55"/>
  <c r="M71" i="55"/>
  <c r="M78" i="55"/>
  <c r="N78" i="55"/>
  <c r="M134" i="55"/>
  <c r="N134" i="55"/>
  <c r="J71" i="55"/>
  <c r="O88" i="55"/>
  <c r="N88" i="55" s="1"/>
  <c r="J134" i="55"/>
  <c r="N155" i="55"/>
  <c r="J194" i="55"/>
  <c r="J234" i="55"/>
  <c r="O236" i="55"/>
  <c r="D17" i="55"/>
  <c r="A33" i="55" s="1"/>
  <c r="O158" i="55"/>
  <c r="J197" i="55"/>
  <c r="J241" i="55"/>
  <c r="M197" i="55"/>
  <c r="M241" i="55"/>
  <c r="N156" i="55"/>
  <c r="J78" i="55"/>
  <c r="O81" i="55"/>
  <c r="J157" i="55"/>
  <c r="J136" i="55"/>
  <c r="O203" i="55"/>
  <c r="M203" i="55" s="1"/>
  <c r="J140" i="55"/>
  <c r="J160" i="55"/>
  <c r="J196" i="55"/>
  <c r="N233" i="55"/>
  <c r="J239" i="55"/>
  <c r="B42" i="55"/>
  <c r="A31" i="55"/>
  <c r="J200" i="55"/>
  <c r="B52" i="55"/>
  <c r="J6" i="55"/>
  <c r="J7" i="55" s="1"/>
  <c r="C51" i="55"/>
  <c r="C21" i="55"/>
  <c r="C52" i="55" s="1"/>
  <c r="AG7" i="55"/>
  <c r="C17" i="55"/>
  <c r="C47" i="55"/>
  <c r="K7" i="55"/>
  <c r="V6" i="55"/>
  <c r="V7" i="55" s="1"/>
  <c r="D192" i="55"/>
  <c r="B50" i="55"/>
  <c r="L7" i="55"/>
  <c r="X7" i="55"/>
  <c r="AJ7" i="55"/>
  <c r="K6" i="55"/>
  <c r="W6" i="55"/>
  <c r="W7" i="55" s="1"/>
  <c r="AI6" i="55"/>
  <c r="AI7" i="55" s="1"/>
  <c r="C192" i="55"/>
  <c r="C50" i="55"/>
  <c r="C70" i="55"/>
  <c r="A36" i="55"/>
  <c r="O77" i="55"/>
  <c r="J77" i="55"/>
  <c r="N6" i="55"/>
  <c r="N7" i="55" s="1"/>
  <c r="Z6" i="55"/>
  <c r="Z7" i="55" s="1"/>
  <c r="AL6" i="55"/>
  <c r="AL7" i="55" s="1"/>
  <c r="B46" i="55"/>
  <c r="O76" i="55"/>
  <c r="O6" i="55"/>
  <c r="O7" i="55" s="1"/>
  <c r="AA6" i="55"/>
  <c r="AA7" i="55" s="1"/>
  <c r="AM6" i="55"/>
  <c r="AM7" i="55" s="1"/>
  <c r="B41" i="55"/>
  <c r="C46" i="55"/>
  <c r="P6" i="55"/>
  <c r="P7" i="55" s="1"/>
  <c r="AB6" i="55"/>
  <c r="AB7" i="55" s="1"/>
  <c r="AN6" i="55"/>
  <c r="AN7" i="55" s="1"/>
  <c r="M72" i="55"/>
  <c r="N72" i="55"/>
  <c r="O73" i="55"/>
  <c r="Q6" i="55"/>
  <c r="Q7" i="55" s="1"/>
  <c r="AC6" i="55"/>
  <c r="AC7" i="55" s="1"/>
  <c r="AO6" i="55"/>
  <c r="AO7" i="55" s="1"/>
  <c r="J72" i="55"/>
  <c r="R6" i="55"/>
  <c r="R7" i="55" s="1"/>
  <c r="AD6" i="55"/>
  <c r="AD7" i="55" s="1"/>
  <c r="AP6" i="55"/>
  <c r="AP7" i="55" s="1"/>
  <c r="J79" i="55"/>
  <c r="O79" i="55"/>
  <c r="S6" i="55"/>
  <c r="S7" i="55" s="1"/>
  <c r="AE6" i="55"/>
  <c r="AE7" i="55" s="1"/>
  <c r="B16" i="55"/>
  <c r="M137" i="55"/>
  <c r="N137" i="55"/>
  <c r="T6" i="55"/>
  <c r="T7" i="55" s="1"/>
  <c r="AF6" i="55"/>
  <c r="AF7" i="55" s="1"/>
  <c r="U6" i="55"/>
  <c r="U7" i="55" s="1"/>
  <c r="O74" i="55"/>
  <c r="J74" i="55"/>
  <c r="M138" i="55"/>
  <c r="N138" i="55"/>
  <c r="N136" i="55"/>
  <c r="M136" i="55"/>
  <c r="O139" i="55"/>
  <c r="J139" i="55"/>
  <c r="J237" i="55"/>
  <c r="O237" i="55"/>
  <c r="C91" i="55"/>
  <c r="B112" i="55"/>
  <c r="J144" i="55"/>
  <c r="O144" i="55"/>
  <c r="J165" i="55"/>
  <c r="O165" i="55"/>
  <c r="J199" i="55"/>
  <c r="O199" i="55"/>
  <c r="N159" i="55"/>
  <c r="M159" i="55"/>
  <c r="M151" i="55"/>
  <c r="J163" i="55"/>
  <c r="O163" i="55"/>
  <c r="M162" i="55"/>
  <c r="N162" i="55"/>
  <c r="J141" i="55"/>
  <c r="O141" i="55"/>
  <c r="J155" i="55"/>
  <c r="M160" i="55"/>
  <c r="N160" i="55"/>
  <c r="N161" i="55"/>
  <c r="J162" i="55"/>
  <c r="N198" i="55"/>
  <c r="O201" i="55"/>
  <c r="J201" i="55"/>
  <c r="N239" i="55"/>
  <c r="M239" i="55"/>
  <c r="N194" i="55"/>
  <c r="J198" i="55"/>
  <c r="C211" i="55"/>
  <c r="D211" i="55"/>
  <c r="J233" i="55"/>
  <c r="M243" i="55"/>
  <c r="N243" i="55"/>
  <c r="B230" i="55"/>
  <c r="N238" i="55"/>
  <c r="M238" i="55"/>
  <c r="N253" i="55"/>
  <c r="M253" i="55"/>
  <c r="O240" i="55"/>
  <c r="J240" i="55"/>
  <c r="F87" i="53"/>
  <c r="F88" i="53"/>
  <c r="M135" i="55" l="1"/>
  <c r="N142" i="55"/>
  <c r="M75" i="55"/>
  <c r="M235" i="55"/>
  <c r="M88" i="55"/>
  <c r="N81" i="55"/>
  <c r="M81" i="55"/>
  <c r="N203" i="55"/>
  <c r="D18" i="55"/>
  <c r="A34" i="55" s="1"/>
  <c r="M236" i="55"/>
  <c r="N236" i="55"/>
  <c r="M158" i="55"/>
  <c r="N158" i="55"/>
  <c r="S45" i="55"/>
  <c r="T45" i="55" s="1"/>
  <c r="U45" i="55" s="1"/>
  <c r="V45" i="55" s="1"/>
  <c r="W45" i="55" s="1"/>
  <c r="X45" i="55" s="1"/>
  <c r="Y45" i="55" s="1"/>
  <c r="Z45" i="55" s="1"/>
  <c r="AA45" i="55" s="1"/>
  <c r="J52" i="55"/>
  <c r="K52" i="55" s="1"/>
  <c r="L52" i="55" s="1"/>
  <c r="M52" i="55" s="1"/>
  <c r="N52" i="55" s="1"/>
  <c r="O52" i="55" s="1"/>
  <c r="P52" i="55" s="1"/>
  <c r="Q52" i="55" s="1"/>
  <c r="J46" i="55"/>
  <c r="K46" i="55" s="1"/>
  <c r="L46" i="55" s="1"/>
  <c r="M46" i="55" s="1"/>
  <c r="N46" i="55" s="1"/>
  <c r="O46" i="55" s="1"/>
  <c r="P46" i="55" s="1"/>
  <c r="Q46" i="55" s="1"/>
  <c r="J47" i="55"/>
  <c r="J50" i="55"/>
  <c r="J51" i="55"/>
  <c r="J49" i="55"/>
  <c r="J41" i="55"/>
  <c r="J44" i="55"/>
  <c r="J53" i="55"/>
  <c r="J48" i="55"/>
  <c r="J42" i="55"/>
  <c r="K42" i="55" s="1"/>
  <c r="L42" i="55" s="1"/>
  <c r="M42" i="55" s="1"/>
  <c r="N42" i="55" s="1"/>
  <c r="O42" i="55" s="1"/>
  <c r="P42" i="55" s="1"/>
  <c r="Q42" i="55" s="1"/>
  <c r="J45" i="55"/>
  <c r="K45" i="55" s="1"/>
  <c r="L45" i="55" s="1"/>
  <c r="M45" i="55" s="1"/>
  <c r="N45" i="55" s="1"/>
  <c r="O45" i="55" s="1"/>
  <c r="P45" i="55" s="1"/>
  <c r="Q45" i="55" s="1"/>
  <c r="J43" i="55"/>
  <c r="K43" i="55" s="1"/>
  <c r="L43" i="55" s="1"/>
  <c r="M43" i="55" s="1"/>
  <c r="N43" i="55" s="1"/>
  <c r="O43" i="55" s="1"/>
  <c r="P43" i="55" s="1"/>
  <c r="Q43" i="55" s="1"/>
  <c r="AO52" i="55"/>
  <c r="AP52" i="55" s="1"/>
  <c r="R49" i="55"/>
  <c r="S49" i="55" s="1"/>
  <c r="T49" i="55" s="1"/>
  <c r="U49" i="55" s="1"/>
  <c r="V49" i="55" s="1"/>
  <c r="W49" i="55" s="1"/>
  <c r="X49" i="55" s="1"/>
  <c r="Y49" i="55" s="1"/>
  <c r="Z49" i="55" s="1"/>
  <c r="AA49" i="55" s="1"/>
  <c r="R52" i="55"/>
  <c r="S52" i="55" s="1"/>
  <c r="T52" i="55" s="1"/>
  <c r="U52" i="55" s="1"/>
  <c r="V52" i="55" s="1"/>
  <c r="W52" i="55" s="1"/>
  <c r="X52" i="55" s="1"/>
  <c r="Y52" i="55" s="1"/>
  <c r="Z52" i="55" s="1"/>
  <c r="AA52" i="55" s="1"/>
  <c r="R42" i="55"/>
  <c r="S42" i="55" s="1"/>
  <c r="T42" i="55" s="1"/>
  <c r="U42" i="55" s="1"/>
  <c r="V42" i="55" s="1"/>
  <c r="W42" i="55" s="1"/>
  <c r="X42" i="55" s="1"/>
  <c r="Y42" i="55" s="1"/>
  <c r="Z42" i="55" s="1"/>
  <c r="AA42" i="55" s="1"/>
  <c r="R53" i="55"/>
  <c r="S53" i="55" s="1"/>
  <c r="T53" i="55" s="1"/>
  <c r="U53" i="55" s="1"/>
  <c r="V53" i="55" s="1"/>
  <c r="W53" i="55" s="1"/>
  <c r="X53" i="55" s="1"/>
  <c r="Y53" i="55" s="1"/>
  <c r="Z53" i="55" s="1"/>
  <c r="AA53" i="55" s="1"/>
  <c r="R48" i="55"/>
  <c r="S48" i="55" s="1"/>
  <c r="T48" i="55" s="1"/>
  <c r="U48" i="55" s="1"/>
  <c r="V48" i="55" s="1"/>
  <c r="W48" i="55" s="1"/>
  <c r="X48" i="55" s="1"/>
  <c r="Y48" i="55" s="1"/>
  <c r="Z48" i="55" s="1"/>
  <c r="AA48" i="55" s="1"/>
  <c r="R43" i="55"/>
  <c r="S43" i="55" s="1"/>
  <c r="T43" i="55" s="1"/>
  <c r="U43" i="55" s="1"/>
  <c r="V43" i="55" s="1"/>
  <c r="W43" i="55" s="1"/>
  <c r="X43" i="55" s="1"/>
  <c r="Y43" i="55" s="1"/>
  <c r="Z43" i="55" s="1"/>
  <c r="AA43" i="55" s="1"/>
  <c r="R45" i="55"/>
  <c r="R51" i="55"/>
  <c r="S51" i="55" s="1"/>
  <c r="T51" i="55" s="1"/>
  <c r="U51" i="55" s="1"/>
  <c r="V51" i="55" s="1"/>
  <c r="W51" i="55" s="1"/>
  <c r="X51" i="55" s="1"/>
  <c r="Y51" i="55" s="1"/>
  <c r="Z51" i="55" s="1"/>
  <c r="AA51" i="55" s="1"/>
  <c r="R50" i="55"/>
  <c r="S50" i="55" s="1"/>
  <c r="T50" i="55" s="1"/>
  <c r="U50" i="55" s="1"/>
  <c r="V50" i="55" s="1"/>
  <c r="W50" i="55" s="1"/>
  <c r="X50" i="55" s="1"/>
  <c r="Y50" i="55" s="1"/>
  <c r="Z50" i="55" s="1"/>
  <c r="AA50" i="55" s="1"/>
  <c r="R47" i="55"/>
  <c r="S47" i="55" s="1"/>
  <c r="T47" i="55" s="1"/>
  <c r="U47" i="55" s="1"/>
  <c r="V47" i="55" s="1"/>
  <c r="W47" i="55" s="1"/>
  <c r="X47" i="55" s="1"/>
  <c r="Y47" i="55" s="1"/>
  <c r="Z47" i="55" s="1"/>
  <c r="AA47" i="55" s="1"/>
  <c r="R41" i="55"/>
  <c r="S41" i="55" s="1"/>
  <c r="T41" i="55" s="1"/>
  <c r="U41" i="55" s="1"/>
  <c r="V41" i="55" s="1"/>
  <c r="W41" i="55" s="1"/>
  <c r="X41" i="55" s="1"/>
  <c r="Y41" i="55" s="1"/>
  <c r="Z41" i="55" s="1"/>
  <c r="AA41" i="55" s="1"/>
  <c r="R44" i="55"/>
  <c r="S44" i="55" s="1"/>
  <c r="T44" i="55" s="1"/>
  <c r="U44" i="55" s="1"/>
  <c r="V44" i="55" s="1"/>
  <c r="W44" i="55" s="1"/>
  <c r="X44" i="55" s="1"/>
  <c r="Y44" i="55" s="1"/>
  <c r="Z44" i="55" s="1"/>
  <c r="AA44" i="55" s="1"/>
  <c r="R46" i="55"/>
  <c r="S46" i="55" s="1"/>
  <c r="T46" i="55" s="1"/>
  <c r="U46" i="55" s="1"/>
  <c r="V46" i="55" s="1"/>
  <c r="W46" i="55" s="1"/>
  <c r="X46" i="55" s="1"/>
  <c r="Y46" i="55" s="1"/>
  <c r="Z46" i="55" s="1"/>
  <c r="AA46" i="55" s="1"/>
  <c r="K53" i="55"/>
  <c r="K47" i="55"/>
  <c r="L47" i="55" s="1"/>
  <c r="M47" i="55" s="1"/>
  <c r="N47" i="55" s="1"/>
  <c r="O47" i="55" s="1"/>
  <c r="P47" i="55" s="1"/>
  <c r="Q47" i="55" s="1"/>
  <c r="K50" i="55"/>
  <c r="L50" i="55" s="1"/>
  <c r="M50" i="55" s="1"/>
  <c r="N50" i="55" s="1"/>
  <c r="O50" i="55" s="1"/>
  <c r="P50" i="55" s="1"/>
  <c r="Q50" i="55" s="1"/>
  <c r="K51" i="55"/>
  <c r="L51" i="55" s="1"/>
  <c r="M51" i="55" s="1"/>
  <c r="N51" i="55" s="1"/>
  <c r="O51" i="55" s="1"/>
  <c r="P51" i="55" s="1"/>
  <c r="Q51" i="55" s="1"/>
  <c r="K49" i="55"/>
  <c r="L49" i="55" s="1"/>
  <c r="M49" i="55" s="1"/>
  <c r="N49" i="55" s="1"/>
  <c r="O49" i="55" s="1"/>
  <c r="P49" i="55" s="1"/>
  <c r="Q49" i="55" s="1"/>
  <c r="K41" i="55"/>
  <c r="K44" i="55"/>
  <c r="L44" i="55" s="1"/>
  <c r="M44" i="55" s="1"/>
  <c r="N44" i="55" s="1"/>
  <c r="O44" i="55" s="1"/>
  <c r="P44" i="55" s="1"/>
  <c r="Q44" i="55" s="1"/>
  <c r="K48" i="55"/>
  <c r="M163" i="55"/>
  <c r="N163" i="55"/>
  <c r="N74" i="55"/>
  <c r="M74" i="55"/>
  <c r="AN47" i="55"/>
  <c r="AO47" i="55" s="1"/>
  <c r="AP47" i="55" s="1"/>
  <c r="AN53" i="55"/>
  <c r="AO53" i="55" s="1"/>
  <c r="AP53" i="55" s="1"/>
  <c r="AN49" i="55"/>
  <c r="AO49" i="55" s="1"/>
  <c r="AP49" i="55" s="1"/>
  <c r="AN44" i="55"/>
  <c r="AO44" i="55" s="1"/>
  <c r="AP44" i="55" s="1"/>
  <c r="AN42" i="55"/>
  <c r="AO42" i="55" s="1"/>
  <c r="AP42" i="55" s="1"/>
  <c r="AN43" i="55"/>
  <c r="AO43" i="55" s="1"/>
  <c r="AP43" i="55" s="1"/>
  <c r="AN50" i="55"/>
  <c r="AO50" i="55" s="1"/>
  <c r="AP50" i="55" s="1"/>
  <c r="AN46" i="55"/>
  <c r="AO46" i="55" s="1"/>
  <c r="AP46" i="55" s="1"/>
  <c r="AN51" i="55"/>
  <c r="AO51" i="55" s="1"/>
  <c r="AP51" i="55" s="1"/>
  <c r="AN48" i="55"/>
  <c r="AO48" i="55" s="1"/>
  <c r="AP48" i="55" s="1"/>
  <c r="AN52" i="55"/>
  <c r="AN45" i="55"/>
  <c r="AO45" i="55" s="1"/>
  <c r="AP45" i="55" s="1"/>
  <c r="AN41" i="55"/>
  <c r="AO41" i="55" s="1"/>
  <c r="AP41" i="55" s="1"/>
  <c r="D112" i="55"/>
  <c r="B133" i="55"/>
  <c r="C112" i="55"/>
  <c r="AB47" i="55"/>
  <c r="AC47" i="55" s="1"/>
  <c r="AD47" i="55" s="1"/>
  <c r="AE47" i="55" s="1"/>
  <c r="AF47" i="55" s="1"/>
  <c r="AG47" i="55" s="1"/>
  <c r="AH47" i="55" s="1"/>
  <c r="AI47" i="55" s="1"/>
  <c r="AJ47" i="55" s="1"/>
  <c r="AK47" i="55" s="1"/>
  <c r="AL47" i="55" s="1"/>
  <c r="AM47" i="55" s="1"/>
  <c r="AB53" i="55"/>
  <c r="AC53" i="55" s="1"/>
  <c r="AD53" i="55" s="1"/>
  <c r="AE53" i="55" s="1"/>
  <c r="AF53" i="55" s="1"/>
  <c r="AG53" i="55" s="1"/>
  <c r="AH53" i="55" s="1"/>
  <c r="AI53" i="55" s="1"/>
  <c r="AJ53" i="55" s="1"/>
  <c r="AK53" i="55" s="1"/>
  <c r="AL53" i="55" s="1"/>
  <c r="AM53" i="55" s="1"/>
  <c r="AB52" i="55"/>
  <c r="AC52" i="55" s="1"/>
  <c r="AD52" i="55" s="1"/>
  <c r="AE52" i="55" s="1"/>
  <c r="AF52" i="55" s="1"/>
  <c r="AG52" i="55" s="1"/>
  <c r="AH52" i="55" s="1"/>
  <c r="AI52" i="55" s="1"/>
  <c r="AJ52" i="55" s="1"/>
  <c r="AK52" i="55" s="1"/>
  <c r="AL52" i="55" s="1"/>
  <c r="AM52" i="55" s="1"/>
  <c r="AB50" i="55"/>
  <c r="AC50" i="55" s="1"/>
  <c r="AD50" i="55" s="1"/>
  <c r="AE50" i="55" s="1"/>
  <c r="AF50" i="55" s="1"/>
  <c r="AG50" i="55" s="1"/>
  <c r="AH50" i="55" s="1"/>
  <c r="AI50" i="55" s="1"/>
  <c r="AJ50" i="55" s="1"/>
  <c r="AK50" i="55" s="1"/>
  <c r="AL50" i="55" s="1"/>
  <c r="AM50" i="55" s="1"/>
  <c r="AB49" i="55"/>
  <c r="AC49" i="55" s="1"/>
  <c r="AD49" i="55" s="1"/>
  <c r="AE49" i="55" s="1"/>
  <c r="AF49" i="55" s="1"/>
  <c r="AG49" i="55" s="1"/>
  <c r="AH49" i="55" s="1"/>
  <c r="AI49" i="55" s="1"/>
  <c r="AJ49" i="55" s="1"/>
  <c r="AK49" i="55" s="1"/>
  <c r="AL49" i="55" s="1"/>
  <c r="AM49" i="55" s="1"/>
  <c r="AB51" i="55"/>
  <c r="AC51" i="55" s="1"/>
  <c r="AD51" i="55" s="1"/>
  <c r="AE51" i="55" s="1"/>
  <c r="AF51" i="55" s="1"/>
  <c r="AG51" i="55" s="1"/>
  <c r="AH51" i="55" s="1"/>
  <c r="AI51" i="55" s="1"/>
  <c r="AJ51" i="55" s="1"/>
  <c r="AK51" i="55" s="1"/>
  <c r="AL51" i="55" s="1"/>
  <c r="AM51" i="55" s="1"/>
  <c r="AB44" i="55"/>
  <c r="AC44" i="55" s="1"/>
  <c r="AD44" i="55" s="1"/>
  <c r="AE44" i="55" s="1"/>
  <c r="AF44" i="55" s="1"/>
  <c r="AG44" i="55" s="1"/>
  <c r="AH44" i="55" s="1"/>
  <c r="AI44" i="55" s="1"/>
  <c r="AJ44" i="55" s="1"/>
  <c r="AK44" i="55" s="1"/>
  <c r="AL44" i="55" s="1"/>
  <c r="AM44" i="55" s="1"/>
  <c r="AB42" i="55"/>
  <c r="AC42" i="55" s="1"/>
  <c r="AD42" i="55" s="1"/>
  <c r="AE42" i="55" s="1"/>
  <c r="AF42" i="55" s="1"/>
  <c r="AG42" i="55" s="1"/>
  <c r="AH42" i="55" s="1"/>
  <c r="AI42" i="55" s="1"/>
  <c r="AJ42" i="55" s="1"/>
  <c r="AK42" i="55" s="1"/>
  <c r="AL42" i="55" s="1"/>
  <c r="AM42" i="55" s="1"/>
  <c r="AB46" i="55"/>
  <c r="AC46" i="55" s="1"/>
  <c r="AD46" i="55" s="1"/>
  <c r="AE46" i="55" s="1"/>
  <c r="AF46" i="55" s="1"/>
  <c r="AG46" i="55" s="1"/>
  <c r="AH46" i="55" s="1"/>
  <c r="AI46" i="55" s="1"/>
  <c r="AJ46" i="55" s="1"/>
  <c r="AK46" i="55" s="1"/>
  <c r="AL46" i="55" s="1"/>
  <c r="AM46" i="55" s="1"/>
  <c r="AB48" i="55"/>
  <c r="AC48" i="55" s="1"/>
  <c r="AD48" i="55" s="1"/>
  <c r="AE48" i="55" s="1"/>
  <c r="AF48" i="55" s="1"/>
  <c r="AG48" i="55" s="1"/>
  <c r="AH48" i="55" s="1"/>
  <c r="AI48" i="55" s="1"/>
  <c r="AJ48" i="55" s="1"/>
  <c r="AK48" i="55" s="1"/>
  <c r="AL48" i="55" s="1"/>
  <c r="AM48" i="55" s="1"/>
  <c r="AB43" i="55"/>
  <c r="AC43" i="55" s="1"/>
  <c r="AD43" i="55" s="1"/>
  <c r="AE43" i="55" s="1"/>
  <c r="AF43" i="55" s="1"/>
  <c r="AG43" i="55" s="1"/>
  <c r="AH43" i="55" s="1"/>
  <c r="AI43" i="55" s="1"/>
  <c r="AJ43" i="55" s="1"/>
  <c r="AK43" i="55" s="1"/>
  <c r="AL43" i="55" s="1"/>
  <c r="AM43" i="55" s="1"/>
  <c r="AB45" i="55"/>
  <c r="AC45" i="55" s="1"/>
  <c r="AD45" i="55" s="1"/>
  <c r="AE45" i="55" s="1"/>
  <c r="AF45" i="55" s="1"/>
  <c r="AG45" i="55" s="1"/>
  <c r="AH45" i="55" s="1"/>
  <c r="AI45" i="55" s="1"/>
  <c r="AJ45" i="55" s="1"/>
  <c r="AK45" i="55" s="1"/>
  <c r="AL45" i="55" s="1"/>
  <c r="AM45" i="55" s="1"/>
  <c r="AB41" i="55"/>
  <c r="AC41" i="55" s="1"/>
  <c r="AD41" i="55" s="1"/>
  <c r="AE41" i="55" s="1"/>
  <c r="AF41" i="55" s="1"/>
  <c r="AG41" i="55" s="1"/>
  <c r="AH41" i="55" s="1"/>
  <c r="AI41" i="55" s="1"/>
  <c r="AJ41" i="55" s="1"/>
  <c r="AK41" i="55" s="1"/>
  <c r="AL41" i="55" s="1"/>
  <c r="AM41" i="55" s="1"/>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L48" i="55"/>
  <c r="M48" i="55" s="1"/>
  <c r="N48" i="55" s="1"/>
  <c r="O48" i="55" s="1"/>
  <c r="P48" i="55" s="1"/>
  <c r="Q48" i="55" s="1"/>
  <c r="L41" i="55"/>
  <c r="M41" i="55" s="1"/>
  <c r="N41" i="55" s="1"/>
  <c r="O41" i="55" s="1"/>
  <c r="P41" i="55" s="1"/>
  <c r="Q41" i="55" s="1"/>
  <c r="L53" i="55"/>
  <c r="M53" i="55" s="1"/>
  <c r="N53" i="55" s="1"/>
  <c r="O53" i="55" s="1"/>
  <c r="P53" i="55" s="1"/>
  <c r="Q53" i="55" s="1"/>
  <c r="M144" i="55"/>
  <c r="N144" i="55"/>
  <c r="N77" i="55"/>
  <c r="M77" i="55"/>
  <c r="O25" i="53"/>
  <c r="N23" i="53"/>
  <c r="B18" i="55" l="1"/>
  <c r="B48" i="55"/>
  <c r="C133" i="55"/>
  <c r="B154" i="55"/>
  <c r="D133" i="55"/>
  <c r="N30" i="53"/>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c r="N10" i="29" s="1"/>
  <c r="O10" i="29" s="1"/>
  <c r="P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K73" i="32"/>
  <c r="K80" i="32"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N6" i="32" s="1"/>
  <c r="E43" i="32"/>
  <c r="F43" i="32"/>
  <c r="H19" i="57" s="1"/>
  <c r="J3" i="53"/>
  <c r="J21" i="32"/>
  <c r="C20" i="39"/>
  <c r="C21" i="39"/>
  <c r="C22" i="39"/>
  <c r="C23" i="39"/>
  <c r="C24" i="39"/>
  <c r="C25" i="39"/>
  <c r="C26" i="39"/>
  <c r="C27" i="39"/>
  <c r="C19" i="39"/>
  <c r="C10" i="39"/>
  <c r="C11" i="39"/>
  <c r="C12" i="39"/>
  <c r="C13" i="39"/>
  <c r="C14" i="39"/>
  <c r="C15" i="39"/>
  <c r="C16" i="39"/>
  <c r="C17" i="39"/>
  <c r="C9" i="39"/>
  <c r="B98" i="53"/>
  <c r="B157" i="53" s="1"/>
  <c r="B99" i="53"/>
  <c r="B158" i="53" s="1"/>
  <c r="B100" i="53"/>
  <c r="B159" i="53" s="1"/>
  <c r="B93" i="53"/>
  <c r="B152" i="53" s="1"/>
  <c r="B94" i="53"/>
  <c r="B153" i="53" s="1"/>
  <c r="B95" i="53"/>
  <c r="B154" i="53" s="1"/>
  <c r="B96" i="53"/>
  <c r="B155" i="53"/>
  <c r="B97" i="53"/>
  <c r="B156" i="53" s="1"/>
  <c r="B92" i="53"/>
  <c r="B151" i="53" s="1"/>
  <c r="M118" i="53"/>
  <c r="B175" i="53"/>
  <c r="B176" i="53"/>
  <c r="D260" i="53" s="1"/>
  <c r="B177" i="53"/>
  <c r="B178" i="53"/>
  <c r="B179" i="53"/>
  <c r="B191" i="53" s="1"/>
  <c r="B202" i="53" s="1"/>
  <c r="B180" i="53"/>
  <c r="B192" i="53" s="1"/>
  <c r="B203" i="53" s="1"/>
  <c r="B181" i="53"/>
  <c r="B193" i="53" s="1"/>
  <c r="B182" i="53"/>
  <c r="B174" i="53"/>
  <c r="D258" i="53" s="1"/>
  <c r="L116" i="53"/>
  <c r="M116" i="53"/>
  <c r="M127" i="53" s="1"/>
  <c r="N116" i="53"/>
  <c r="O116" i="53"/>
  <c r="P116" i="53"/>
  <c r="Q116" i="53"/>
  <c r="R116" i="53"/>
  <c r="S116" i="53"/>
  <c r="T116" i="53"/>
  <c r="U116" i="53"/>
  <c r="V116" i="53"/>
  <c r="W116" i="53"/>
  <c r="X116" i="53"/>
  <c r="Y116" i="53"/>
  <c r="Z116" i="53"/>
  <c r="AA116" i="53"/>
  <c r="AB116" i="53"/>
  <c r="AC116" i="53"/>
  <c r="AD116" i="53"/>
  <c r="AE116" i="53"/>
  <c r="AE127" i="53" s="1"/>
  <c r="AF116" i="53"/>
  <c r="AG116" i="53"/>
  <c r="AH116" i="53"/>
  <c r="AI116" i="53"/>
  <c r="AI127" i="53" s="1"/>
  <c r="AJ116" i="53"/>
  <c r="AK116" i="53"/>
  <c r="AL116" i="53"/>
  <c r="AM116" i="53"/>
  <c r="AN116" i="53"/>
  <c r="AO116" i="53"/>
  <c r="AO127" i="53" s="1"/>
  <c r="AP116" i="53"/>
  <c r="AQ116" i="53"/>
  <c r="AR116" i="53"/>
  <c r="AS116" i="53"/>
  <c r="AT116" i="53"/>
  <c r="AU116" i="53"/>
  <c r="AV116" i="53"/>
  <c r="L117" i="53"/>
  <c r="L128" i="53" s="1"/>
  <c r="M117" i="53"/>
  <c r="N117" i="53"/>
  <c r="O117" i="53"/>
  <c r="P117" i="53"/>
  <c r="P128" i="53" s="1"/>
  <c r="Q117" i="53"/>
  <c r="R117" i="53"/>
  <c r="R128" i="53" s="1"/>
  <c r="S117" i="53"/>
  <c r="T117" i="53"/>
  <c r="U117" i="53"/>
  <c r="V117" i="53"/>
  <c r="V128" i="53" s="1"/>
  <c r="W117" i="53"/>
  <c r="X117" i="53"/>
  <c r="Y117" i="53"/>
  <c r="Z117" i="53"/>
  <c r="AA117" i="53"/>
  <c r="AB117" i="53"/>
  <c r="AC117" i="53"/>
  <c r="AD117" i="53"/>
  <c r="AD128" i="53" s="1"/>
  <c r="AE117" i="53"/>
  <c r="AF117" i="53"/>
  <c r="AG117" i="53"/>
  <c r="AH117" i="53"/>
  <c r="AI117" i="53"/>
  <c r="AJ117" i="53"/>
  <c r="AJ128" i="53" s="1"/>
  <c r="AK117" i="53"/>
  <c r="AL117" i="53"/>
  <c r="AM117" i="53"/>
  <c r="AN117" i="53"/>
  <c r="AN128" i="53" s="1"/>
  <c r="AO117" i="53"/>
  <c r="AP117" i="53"/>
  <c r="AP128" i="53" s="1"/>
  <c r="AQ117" i="53"/>
  <c r="AR117" i="53"/>
  <c r="AS117" i="53"/>
  <c r="AT117" i="53"/>
  <c r="AU117" i="53"/>
  <c r="AV117" i="53"/>
  <c r="L118" i="53"/>
  <c r="N118" i="53"/>
  <c r="O118" i="53"/>
  <c r="P118" i="53"/>
  <c r="Q118" i="53"/>
  <c r="R118" i="53"/>
  <c r="S118" i="53"/>
  <c r="T118" i="53"/>
  <c r="U118" i="53"/>
  <c r="V118" i="53"/>
  <c r="W118" i="53"/>
  <c r="X118" i="53"/>
  <c r="Y118" i="53"/>
  <c r="Z118" i="53"/>
  <c r="AA118" i="53"/>
  <c r="AB118" i="53"/>
  <c r="AC118" i="53"/>
  <c r="AD118" i="53"/>
  <c r="AE118" i="53"/>
  <c r="AF118" i="53"/>
  <c r="AG118" i="53"/>
  <c r="AH118" i="53"/>
  <c r="AI118" i="53"/>
  <c r="AJ118" i="53"/>
  <c r="AK118" i="53"/>
  <c r="AL118" i="53"/>
  <c r="AM118" i="53"/>
  <c r="AN118" i="53"/>
  <c r="AO118" i="53"/>
  <c r="AP118" i="53"/>
  <c r="AQ118" i="53"/>
  <c r="AR118" i="53"/>
  <c r="AS118" i="53"/>
  <c r="AT118" i="53"/>
  <c r="AU118" i="53"/>
  <c r="AV118" i="53"/>
  <c r="L119" i="53"/>
  <c r="M119" i="53"/>
  <c r="N119" i="53"/>
  <c r="O119" i="53"/>
  <c r="P119" i="53"/>
  <c r="Q119" i="53"/>
  <c r="Q130" i="53" s="1"/>
  <c r="R119" i="53"/>
  <c r="S119" i="53"/>
  <c r="S130" i="53" s="1"/>
  <c r="T119" i="53"/>
  <c r="U119" i="53"/>
  <c r="U130" i="53" s="1"/>
  <c r="V119" i="53"/>
  <c r="W119" i="53"/>
  <c r="X119" i="53"/>
  <c r="Y119" i="53"/>
  <c r="Y130" i="53" s="1"/>
  <c r="Z119" i="53"/>
  <c r="AA119" i="53"/>
  <c r="AA130" i="53" s="1"/>
  <c r="AB119" i="53"/>
  <c r="AC119" i="53"/>
  <c r="AC130" i="53" s="1"/>
  <c r="AD119" i="53"/>
  <c r="AE119" i="53"/>
  <c r="AF119" i="53"/>
  <c r="AG119" i="53"/>
  <c r="AH119" i="53"/>
  <c r="AI119" i="53"/>
  <c r="AJ119" i="53"/>
  <c r="AK119" i="53"/>
  <c r="AL119" i="53"/>
  <c r="AM119" i="53"/>
  <c r="AM130" i="53" s="1"/>
  <c r="AN119" i="53"/>
  <c r="AO119" i="53"/>
  <c r="AO130" i="53" s="1"/>
  <c r="AP119" i="53"/>
  <c r="AQ119" i="53"/>
  <c r="AQ130" i="53" s="1"/>
  <c r="AR119" i="53"/>
  <c r="AS119" i="53"/>
  <c r="AS130" i="53" s="1"/>
  <c r="AT119" i="53"/>
  <c r="AU119" i="53"/>
  <c r="AV119" i="53"/>
  <c r="L120" i="53"/>
  <c r="M120" i="53"/>
  <c r="N120" i="53"/>
  <c r="O120" i="53"/>
  <c r="P120" i="53"/>
  <c r="Q120" i="53"/>
  <c r="R120" i="53"/>
  <c r="S120" i="53"/>
  <c r="T120" i="53"/>
  <c r="U120" i="53"/>
  <c r="V120" i="53"/>
  <c r="W120" i="53"/>
  <c r="X120" i="53"/>
  <c r="Y120" i="53"/>
  <c r="Z120" i="53"/>
  <c r="AA120" i="53"/>
  <c r="AB120" i="53"/>
  <c r="AC120" i="53"/>
  <c r="AD120" i="53"/>
  <c r="AE120" i="53"/>
  <c r="AF120" i="53"/>
  <c r="AG120" i="53"/>
  <c r="AH120" i="53"/>
  <c r="AI120" i="53"/>
  <c r="AJ120" i="53"/>
  <c r="AK120" i="53"/>
  <c r="AL120" i="53"/>
  <c r="AM120" i="53"/>
  <c r="AN120" i="53"/>
  <c r="AO120" i="53"/>
  <c r="AP120" i="53"/>
  <c r="AQ120" i="53"/>
  <c r="AR120" i="53"/>
  <c r="AS120" i="53"/>
  <c r="AT120" i="53"/>
  <c r="AU120" i="53"/>
  <c r="AV120" i="53"/>
  <c r="L121" i="53"/>
  <c r="M121" i="53"/>
  <c r="N121" i="53"/>
  <c r="O121" i="53"/>
  <c r="P121" i="53"/>
  <c r="Q121" i="53"/>
  <c r="R121" i="53"/>
  <c r="S121" i="53"/>
  <c r="T121" i="53"/>
  <c r="U121" i="53"/>
  <c r="V121" i="53"/>
  <c r="W121" i="53"/>
  <c r="X121" i="53"/>
  <c r="Y121" i="53"/>
  <c r="Z121" i="53"/>
  <c r="AA121" i="53"/>
  <c r="AB121" i="53"/>
  <c r="AC121" i="53"/>
  <c r="AD121" i="53"/>
  <c r="AE121" i="53"/>
  <c r="AF121" i="53"/>
  <c r="AG121" i="53"/>
  <c r="AH121" i="53"/>
  <c r="AI121" i="53"/>
  <c r="AJ121" i="53"/>
  <c r="AK121" i="53"/>
  <c r="AL121" i="53"/>
  <c r="AM121" i="53"/>
  <c r="AN121" i="53"/>
  <c r="AO121" i="53"/>
  <c r="AP121" i="53"/>
  <c r="AQ121" i="53"/>
  <c r="AR121" i="53"/>
  <c r="AS121" i="53"/>
  <c r="AT121" i="53"/>
  <c r="AU121" i="53"/>
  <c r="AV121" i="53"/>
  <c r="L122" i="53"/>
  <c r="M122" i="53"/>
  <c r="N122" i="53"/>
  <c r="O122" i="53"/>
  <c r="P122" i="53"/>
  <c r="Q122" i="53"/>
  <c r="R122" i="53"/>
  <c r="S122" i="53"/>
  <c r="T122" i="53"/>
  <c r="T133" i="53" s="1"/>
  <c r="U122" i="53"/>
  <c r="V122" i="53"/>
  <c r="W122" i="53"/>
  <c r="X122" i="53"/>
  <c r="X133" i="53" s="1"/>
  <c r="Y122" i="53"/>
  <c r="Z122" i="53"/>
  <c r="AA122" i="53"/>
  <c r="AB122" i="53"/>
  <c r="AC122" i="53"/>
  <c r="AD122" i="53"/>
  <c r="AE122" i="53"/>
  <c r="AF122" i="53"/>
  <c r="AF133" i="53" s="1"/>
  <c r="AG122" i="53"/>
  <c r="AH122" i="53"/>
  <c r="AI122" i="53"/>
  <c r="AJ122" i="53"/>
  <c r="AJ133" i="53" s="1"/>
  <c r="AK122" i="53"/>
  <c r="AL122" i="53"/>
  <c r="AM122" i="53"/>
  <c r="AN122" i="53"/>
  <c r="AO122" i="53"/>
  <c r="AP122" i="53"/>
  <c r="AQ122" i="53"/>
  <c r="AR122" i="53"/>
  <c r="AR133" i="53" s="1"/>
  <c r="AS122" i="53"/>
  <c r="AT122" i="53"/>
  <c r="AU122" i="53"/>
  <c r="AV122" i="53"/>
  <c r="AV133" i="53" s="1"/>
  <c r="L123" i="53"/>
  <c r="M123" i="53"/>
  <c r="N123" i="53"/>
  <c r="O123" i="53"/>
  <c r="P123" i="53"/>
  <c r="Q123" i="53"/>
  <c r="R123" i="53"/>
  <c r="S123" i="53"/>
  <c r="T123" i="53"/>
  <c r="U123" i="53"/>
  <c r="V123" i="53"/>
  <c r="W123" i="53"/>
  <c r="X123" i="53"/>
  <c r="Y123" i="53"/>
  <c r="Z123" i="53"/>
  <c r="AA123" i="53"/>
  <c r="AB123" i="53"/>
  <c r="AC123" i="53"/>
  <c r="AD123" i="53"/>
  <c r="AE123" i="53"/>
  <c r="AF123" i="53"/>
  <c r="AG123" i="53"/>
  <c r="AH123" i="53"/>
  <c r="AI123" i="53"/>
  <c r="AJ123" i="53"/>
  <c r="AK123" i="53"/>
  <c r="AL123" i="53"/>
  <c r="AM123" i="53"/>
  <c r="AN123" i="53"/>
  <c r="AO123" i="53"/>
  <c r="AP123" i="53"/>
  <c r="AQ123" i="53"/>
  <c r="AR123" i="53"/>
  <c r="AS123" i="53"/>
  <c r="AT123" i="53"/>
  <c r="AU123" i="53"/>
  <c r="AV123" i="53"/>
  <c r="L124" i="53"/>
  <c r="M124" i="53"/>
  <c r="N124" i="53"/>
  <c r="O124" i="53"/>
  <c r="P124" i="53"/>
  <c r="Q124" i="53"/>
  <c r="R124" i="53"/>
  <c r="R135" i="53" s="1"/>
  <c r="S124" i="53"/>
  <c r="T124" i="53"/>
  <c r="U124" i="53"/>
  <c r="V124" i="53"/>
  <c r="V135" i="53" s="1"/>
  <c r="W124" i="53"/>
  <c r="X124" i="53"/>
  <c r="X135" i="53" s="1"/>
  <c r="Y124" i="53"/>
  <c r="Z124" i="53"/>
  <c r="AA124" i="53"/>
  <c r="AB124" i="53"/>
  <c r="AC124" i="53"/>
  <c r="AD124" i="53"/>
  <c r="AE124" i="53"/>
  <c r="AF124" i="53"/>
  <c r="AG124" i="53"/>
  <c r="AH124" i="53"/>
  <c r="AH135" i="53" s="1"/>
  <c r="AI124" i="53"/>
  <c r="AJ124" i="53"/>
  <c r="AK124" i="53"/>
  <c r="AL124" i="53"/>
  <c r="AL135" i="53" s="1"/>
  <c r="AM124" i="53"/>
  <c r="AN124" i="53"/>
  <c r="AN135" i="53" s="1"/>
  <c r="AO124" i="53"/>
  <c r="AP124" i="53"/>
  <c r="AQ124" i="53"/>
  <c r="AR124" i="53"/>
  <c r="AS124" i="53"/>
  <c r="AT124" i="53"/>
  <c r="AT135" i="53" s="1"/>
  <c r="AU124" i="53"/>
  <c r="AV124" i="53"/>
  <c r="K117" i="53"/>
  <c r="K118" i="53"/>
  <c r="K119" i="53"/>
  <c r="K120" i="53"/>
  <c r="K121" i="53"/>
  <c r="K122" i="53"/>
  <c r="K123" i="53"/>
  <c r="K124" i="53"/>
  <c r="K116" i="53"/>
  <c r="J117" i="53"/>
  <c r="J118" i="53"/>
  <c r="J119" i="53"/>
  <c r="J120" i="53"/>
  <c r="J121" i="53"/>
  <c r="J122" i="53"/>
  <c r="J123" i="53"/>
  <c r="J124" i="53"/>
  <c r="J116" i="53"/>
  <c r="J127" i="53" s="1"/>
  <c r="B117" i="53"/>
  <c r="B128" i="53"/>
  <c r="B139" i="53" s="1"/>
  <c r="B118" i="53"/>
  <c r="B129" i="53"/>
  <c r="B140" i="53" s="1"/>
  <c r="B119" i="53"/>
  <c r="B130" i="53" s="1"/>
  <c r="B141" i="53" s="1"/>
  <c r="B120" i="53"/>
  <c r="B131" i="53" s="1"/>
  <c r="B142" i="53" s="1"/>
  <c r="B121" i="53"/>
  <c r="B132" i="53" s="1"/>
  <c r="B143" i="53" s="1"/>
  <c r="B122" i="53"/>
  <c r="B133" i="53" s="1"/>
  <c r="B144" i="53"/>
  <c r="B123" i="53"/>
  <c r="B134" i="53" s="1"/>
  <c r="B145" i="53" s="1"/>
  <c r="B124" i="53"/>
  <c r="B135" i="53" s="1"/>
  <c r="B146" i="53" s="1"/>
  <c r="B116" i="53"/>
  <c r="B127" i="53"/>
  <c r="B138" i="53" s="1"/>
  <c r="I266" i="53"/>
  <c r="H266" i="53"/>
  <c r="G266" i="53"/>
  <c r="F266" i="53"/>
  <c r="E266" i="53"/>
  <c r="C266" i="53"/>
  <c r="B266" i="53"/>
  <c r="I265" i="53"/>
  <c r="H265" i="53"/>
  <c r="G265" i="53"/>
  <c r="F265" i="53"/>
  <c r="E265" i="53"/>
  <c r="C265" i="53"/>
  <c r="B265" i="53"/>
  <c r="I264" i="53"/>
  <c r="H264" i="53"/>
  <c r="G264" i="53"/>
  <c r="F264" i="53"/>
  <c r="E264" i="53"/>
  <c r="C264" i="53"/>
  <c r="B264" i="53"/>
  <c r="I263" i="53"/>
  <c r="H263" i="53"/>
  <c r="G263" i="53"/>
  <c r="F263" i="53"/>
  <c r="E263" i="53"/>
  <c r="C263" i="53"/>
  <c r="B263" i="53"/>
  <c r="I262" i="53"/>
  <c r="H262" i="53"/>
  <c r="G262" i="53"/>
  <c r="F262" i="53"/>
  <c r="E262" i="53"/>
  <c r="C262" i="53"/>
  <c r="B262" i="53"/>
  <c r="I261" i="53"/>
  <c r="H261" i="53"/>
  <c r="G261" i="53"/>
  <c r="F261" i="53"/>
  <c r="E261" i="53"/>
  <c r="C261" i="53"/>
  <c r="B261" i="53"/>
  <c r="I260" i="53"/>
  <c r="H260" i="53"/>
  <c r="G260" i="53"/>
  <c r="F260" i="53"/>
  <c r="E260" i="53"/>
  <c r="C260" i="53"/>
  <c r="B260" i="53"/>
  <c r="I259" i="53"/>
  <c r="H259" i="53"/>
  <c r="G259" i="53"/>
  <c r="F259" i="53"/>
  <c r="E259" i="53"/>
  <c r="C259" i="53"/>
  <c r="B259" i="53"/>
  <c r="I258" i="53"/>
  <c r="H258" i="53"/>
  <c r="G258" i="53"/>
  <c r="F258" i="53"/>
  <c r="E258" i="53"/>
  <c r="C258" i="53"/>
  <c r="B258" i="53"/>
  <c r="AO257" i="53"/>
  <c r="AP257" i="53" s="1"/>
  <c r="I257" i="53"/>
  <c r="H257" i="53"/>
  <c r="F257" i="53"/>
  <c r="E257" i="53"/>
  <c r="C257" i="53"/>
  <c r="I256" i="53"/>
  <c r="H256" i="53"/>
  <c r="G256" i="53"/>
  <c r="F256" i="53"/>
  <c r="E256" i="53"/>
  <c r="C256" i="53"/>
  <c r="B256" i="53"/>
  <c r="I255" i="53"/>
  <c r="H255" i="53"/>
  <c r="G255" i="53"/>
  <c r="F255" i="53"/>
  <c r="E255" i="53"/>
  <c r="C255" i="53"/>
  <c r="B255" i="53"/>
  <c r="I254" i="53"/>
  <c r="H254" i="53"/>
  <c r="G254" i="53"/>
  <c r="F254" i="53"/>
  <c r="E254" i="53"/>
  <c r="C254" i="53"/>
  <c r="B254" i="53"/>
  <c r="I253" i="53"/>
  <c r="H253" i="53"/>
  <c r="G253" i="53"/>
  <c r="F253" i="53"/>
  <c r="E253" i="53"/>
  <c r="C253" i="53"/>
  <c r="B253" i="53"/>
  <c r="I252" i="53"/>
  <c r="H252" i="53"/>
  <c r="G252" i="53"/>
  <c r="F252" i="53"/>
  <c r="E252" i="53"/>
  <c r="C252" i="53"/>
  <c r="B252" i="53"/>
  <c r="I251" i="53"/>
  <c r="H251" i="53"/>
  <c r="G251" i="53"/>
  <c r="F251" i="53"/>
  <c r="E251" i="53"/>
  <c r="C251" i="53"/>
  <c r="B251" i="53"/>
  <c r="I250" i="53"/>
  <c r="H250" i="53"/>
  <c r="G250" i="53"/>
  <c r="F250" i="53"/>
  <c r="E250" i="53"/>
  <c r="C250" i="53"/>
  <c r="B250" i="53"/>
  <c r="I249" i="53"/>
  <c r="H249" i="53"/>
  <c r="G249" i="53"/>
  <c r="F249" i="53"/>
  <c r="E249" i="53"/>
  <c r="C249" i="53"/>
  <c r="B249" i="53"/>
  <c r="I248" i="53"/>
  <c r="H248" i="53"/>
  <c r="G248" i="53"/>
  <c r="F248" i="53"/>
  <c r="E248" i="53"/>
  <c r="C248" i="53"/>
  <c r="B248" i="53"/>
  <c r="B170" i="53"/>
  <c r="D256" i="53"/>
  <c r="B169" i="53"/>
  <c r="B240" i="53" s="1"/>
  <c r="B168" i="53"/>
  <c r="B239" i="53" s="1"/>
  <c r="B167" i="53"/>
  <c r="B166" i="53"/>
  <c r="D252" i="53" s="1"/>
  <c r="B165" i="53"/>
  <c r="D251" i="53" s="1"/>
  <c r="B164" i="53"/>
  <c r="B163" i="53"/>
  <c r="D249" i="53" s="1"/>
  <c r="B162" i="53"/>
  <c r="D248" i="53" s="1"/>
  <c r="E135" i="53"/>
  <c r="E146" i="53" s="1"/>
  <c r="E134" i="53"/>
  <c r="E133" i="53"/>
  <c r="E144" i="53"/>
  <c r="AO144" i="53" s="1"/>
  <c r="E132" i="53"/>
  <c r="E131" i="53"/>
  <c r="E130" i="53"/>
  <c r="E129" i="53"/>
  <c r="E128" i="53"/>
  <c r="E139" i="53"/>
  <c r="AP139" i="53" s="1"/>
  <c r="E127" i="53"/>
  <c r="AB127" i="53" s="1"/>
  <c r="C78" i="53"/>
  <c r="C113" i="53" s="1"/>
  <c r="C124" i="53" s="1"/>
  <c r="C135" i="53" s="1"/>
  <c r="C146" i="53" s="1"/>
  <c r="C170" i="53" s="1"/>
  <c r="C241" i="53" s="1"/>
  <c r="C77" i="53"/>
  <c r="D16" i="39" s="1"/>
  <c r="C76" i="53"/>
  <c r="C111" i="53" s="1"/>
  <c r="C122" i="53" s="1"/>
  <c r="C133" i="53" s="1"/>
  <c r="C144" i="53" s="1"/>
  <c r="C168" i="53" s="1"/>
  <c r="C75" i="53"/>
  <c r="C74" i="53"/>
  <c r="C73" i="53"/>
  <c r="C84" i="53"/>
  <c r="C95" i="53" s="1"/>
  <c r="C154" i="53" s="1"/>
  <c r="C72" i="53"/>
  <c r="C83" i="53" s="1"/>
  <c r="C94" i="53" s="1"/>
  <c r="C153" i="53" s="1"/>
  <c r="C71" i="53"/>
  <c r="C82" i="53" s="1"/>
  <c r="C70" i="53"/>
  <c r="C105" i="53" s="1"/>
  <c r="C116" i="53" s="1"/>
  <c r="C127" i="53" s="1"/>
  <c r="C138" i="53" s="1"/>
  <c r="C162" i="53" s="1"/>
  <c r="J67" i="53"/>
  <c r="J104" i="53" s="1"/>
  <c r="I67" i="53"/>
  <c r="H67" i="53"/>
  <c r="G67" i="53"/>
  <c r="B46" i="53"/>
  <c r="B45" i="53"/>
  <c r="B44" i="53"/>
  <c r="B50" i="53" s="1"/>
  <c r="B43" i="53"/>
  <c r="B49" i="53" s="1"/>
  <c r="J25" i="53"/>
  <c r="C25" i="53"/>
  <c r="B25" i="53"/>
  <c r="C23" i="53"/>
  <c r="C24" i="53" s="1"/>
  <c r="B23" i="53"/>
  <c r="B24" i="53" s="1"/>
  <c r="J22" i="53"/>
  <c r="E14" i="53"/>
  <c r="J6" i="53"/>
  <c r="H6" i="53"/>
  <c r="G6" i="53"/>
  <c r="F6" i="53"/>
  <c r="E6" i="53"/>
  <c r="D6" i="53"/>
  <c r="J7" i="53" s="1"/>
  <c r="J8" i="53" s="1"/>
  <c r="J88" i="53" s="1"/>
  <c r="J5" i="53"/>
  <c r="K4" i="53"/>
  <c r="A1" i="53"/>
  <c r="B236" i="53"/>
  <c r="D264" i="53"/>
  <c r="G76" i="53"/>
  <c r="E87" i="53"/>
  <c r="G87" i="53" s="1"/>
  <c r="G77" i="53"/>
  <c r="E88" i="53"/>
  <c r="G88" i="53"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R52" i="52" s="1"/>
  <c r="Q18" i="52"/>
  <c r="P18" i="52"/>
  <c r="P52" i="52" s="1"/>
  <c r="O18" i="52"/>
  <c r="O52" i="52" s="1"/>
  <c r="N18" i="52"/>
  <c r="M18" i="52"/>
  <c r="L18" i="52"/>
  <c r="L52" i="52" s="1"/>
  <c r="K18" i="52"/>
  <c r="J18" i="52"/>
  <c r="I18" i="52"/>
  <c r="I52" i="52" s="1"/>
  <c r="H18" i="52"/>
  <c r="H52" i="52" s="1"/>
  <c r="G18" i="52"/>
  <c r="F18" i="52"/>
  <c r="F52" i="52" s="1"/>
  <c r="E18" i="52"/>
  <c r="E52" i="52" s="1"/>
  <c r="D18" i="52"/>
  <c r="D52" i="52" s="1"/>
  <c r="S17" i="52"/>
  <c r="S51" i="52" s="1"/>
  <c r="R17" i="52"/>
  <c r="Q17" i="52"/>
  <c r="P17" i="52"/>
  <c r="O17" i="52"/>
  <c r="N17" i="52"/>
  <c r="N51" i="52" s="1"/>
  <c r="M17" i="52"/>
  <c r="M51" i="52" s="1"/>
  <c r="L17" i="52"/>
  <c r="L51" i="52" s="1"/>
  <c r="K17" i="52"/>
  <c r="J17" i="52"/>
  <c r="J51" i="52" s="1"/>
  <c r="I17" i="52"/>
  <c r="I51" i="52" s="1"/>
  <c r="H17" i="52"/>
  <c r="H51" i="52" s="1"/>
  <c r="G17" i="52"/>
  <c r="G51" i="52" s="1"/>
  <c r="F17" i="52"/>
  <c r="E17" i="52"/>
  <c r="D17" i="52"/>
  <c r="D51" i="52" s="1"/>
  <c r="S16" i="52"/>
  <c r="R16" i="52"/>
  <c r="R50" i="52" s="1"/>
  <c r="Q16" i="52"/>
  <c r="Q50" i="52" s="1"/>
  <c r="P16" i="52"/>
  <c r="O16" i="52"/>
  <c r="N16" i="52"/>
  <c r="N50" i="52" s="1"/>
  <c r="M16" i="52"/>
  <c r="M50" i="52" s="1"/>
  <c r="L16" i="52"/>
  <c r="L50" i="52" s="1"/>
  <c r="K16" i="52"/>
  <c r="K50" i="52" s="1"/>
  <c r="J16" i="52"/>
  <c r="I16" i="52"/>
  <c r="H16" i="52"/>
  <c r="H50" i="52" s="1"/>
  <c r="G16" i="52"/>
  <c r="F16" i="52"/>
  <c r="F50" i="52" s="1"/>
  <c r="E16" i="52"/>
  <c r="E50" i="52" s="1"/>
  <c r="D16" i="52"/>
  <c r="D50" i="52" s="1"/>
  <c r="S15" i="52"/>
  <c r="R15" i="52"/>
  <c r="R49" i="52" s="1"/>
  <c r="Q15" i="52"/>
  <c r="P15" i="52"/>
  <c r="O15" i="52"/>
  <c r="O49" i="52" s="1"/>
  <c r="N15" i="52"/>
  <c r="M15" i="52"/>
  <c r="L15" i="52"/>
  <c r="L49" i="52" s="1"/>
  <c r="K15" i="52"/>
  <c r="J15" i="52"/>
  <c r="J49" i="52" s="1"/>
  <c r="I15" i="52"/>
  <c r="I49" i="52" s="1"/>
  <c r="H15" i="52"/>
  <c r="G15" i="52"/>
  <c r="F15" i="52"/>
  <c r="F49" i="52" s="1"/>
  <c r="E15" i="52"/>
  <c r="D15" i="52"/>
  <c r="D49" i="52" s="1"/>
  <c r="S14" i="52"/>
  <c r="R14" i="52"/>
  <c r="Q14" i="52"/>
  <c r="P14" i="52"/>
  <c r="P48" i="52" s="1"/>
  <c r="O14" i="52"/>
  <c r="N14" i="52"/>
  <c r="N48" i="52" s="1"/>
  <c r="M14" i="52"/>
  <c r="M48" i="52" s="1"/>
  <c r="L14" i="52"/>
  <c r="L48" i="52" s="1"/>
  <c r="K14" i="52"/>
  <c r="J14" i="52"/>
  <c r="J48" i="52" s="1"/>
  <c r="I14" i="52"/>
  <c r="I48" i="52" s="1"/>
  <c r="H14" i="52"/>
  <c r="H48" i="52" s="1"/>
  <c r="G14" i="52"/>
  <c r="G48" i="52" s="1"/>
  <c r="F14" i="52"/>
  <c r="E14" i="52"/>
  <c r="D14" i="52"/>
  <c r="D48" i="52" s="1"/>
  <c r="S13" i="52"/>
  <c r="R13" i="52"/>
  <c r="R47" i="52" s="1"/>
  <c r="Q13" i="52"/>
  <c r="Q47" i="52" s="1"/>
  <c r="P13" i="52"/>
  <c r="P47" i="52" s="1"/>
  <c r="O13" i="52"/>
  <c r="N13" i="52"/>
  <c r="M13" i="52"/>
  <c r="M47" i="52" s="1"/>
  <c r="L13" i="52"/>
  <c r="L47" i="52" s="1"/>
  <c r="K13" i="52"/>
  <c r="K47" i="52" s="1"/>
  <c r="J13" i="52"/>
  <c r="I13" i="52"/>
  <c r="H13" i="52"/>
  <c r="H47" i="52" s="1"/>
  <c r="G13" i="52"/>
  <c r="F13" i="52"/>
  <c r="F47" i="52" s="1"/>
  <c r="E13" i="52"/>
  <c r="E47" i="52" s="1"/>
  <c r="D13" i="52"/>
  <c r="D47" i="52" s="1"/>
  <c r="S12" i="52"/>
  <c r="R12" i="52"/>
  <c r="Q12" i="52"/>
  <c r="Q46" i="52" s="1"/>
  <c r="P12" i="52"/>
  <c r="P46" i="52" s="1"/>
  <c r="O12" i="52"/>
  <c r="O46" i="52" s="1"/>
  <c r="N12" i="52"/>
  <c r="M12" i="52"/>
  <c r="L12" i="52"/>
  <c r="L46" i="52" s="1"/>
  <c r="K12" i="52"/>
  <c r="J12" i="52"/>
  <c r="J46" i="52" s="1"/>
  <c r="I12" i="52"/>
  <c r="I46" i="52" s="1"/>
  <c r="H12" i="52"/>
  <c r="H46" i="52" s="1"/>
  <c r="G12" i="52"/>
  <c r="F12" i="52"/>
  <c r="F46" i="52" s="1"/>
  <c r="E12" i="52"/>
  <c r="D12" i="52"/>
  <c r="D46" i="52" s="1"/>
  <c r="S11" i="52"/>
  <c r="S45" i="52" s="1"/>
  <c r="R11" i="52"/>
  <c r="Q11" i="52"/>
  <c r="P11" i="52"/>
  <c r="O11" i="52"/>
  <c r="N11" i="52"/>
  <c r="N45" i="52" s="1"/>
  <c r="M11" i="52"/>
  <c r="M45" i="52" s="1"/>
  <c r="L11" i="52"/>
  <c r="K11" i="52"/>
  <c r="J11" i="52"/>
  <c r="J45" i="52" s="1"/>
  <c r="I11" i="52"/>
  <c r="I45" i="52" s="1"/>
  <c r="H11" i="52"/>
  <c r="H45" i="52" s="1"/>
  <c r="G11" i="52"/>
  <c r="G45" i="52" s="1"/>
  <c r="F11" i="52"/>
  <c r="E11" i="52"/>
  <c r="D11" i="52"/>
  <c r="D45" i="52" s="1"/>
  <c r="S10" i="52"/>
  <c r="R10" i="52"/>
  <c r="R44" i="52" s="1"/>
  <c r="Q10" i="52"/>
  <c r="Q44" i="52" s="1"/>
  <c r="P10" i="52"/>
  <c r="P44" i="52" s="1"/>
  <c r="O10" i="52"/>
  <c r="N10" i="52"/>
  <c r="N44" i="52" s="1"/>
  <c r="M10" i="52"/>
  <c r="M44" i="52" s="1"/>
  <c r="L10" i="52"/>
  <c r="K10" i="52"/>
  <c r="J10" i="52"/>
  <c r="I10" i="52"/>
  <c r="H10" i="52"/>
  <c r="H44" i="52" s="1"/>
  <c r="G10" i="52"/>
  <c r="F10" i="52"/>
  <c r="F44" i="52" s="1"/>
  <c r="E10" i="52"/>
  <c r="E44" i="52" s="1"/>
  <c r="D10" i="52"/>
  <c r="D44" i="52" s="1"/>
  <c r="S9" i="52"/>
  <c r="R9" i="52"/>
  <c r="R43" i="52" s="1"/>
  <c r="Q9" i="52"/>
  <c r="Q43" i="52" s="1"/>
  <c r="P9" i="52"/>
  <c r="P43" i="52" s="1"/>
  <c r="O9" i="52"/>
  <c r="O43" i="52" s="1"/>
  <c r="N9" i="52"/>
  <c r="M9" i="52"/>
  <c r="L9" i="52"/>
  <c r="L43" i="52" s="1"/>
  <c r="K9" i="52"/>
  <c r="J9" i="52"/>
  <c r="J43" i="52" s="1"/>
  <c r="I9" i="52"/>
  <c r="I43" i="52" s="1"/>
  <c r="H9" i="52"/>
  <c r="H43" i="52" s="1"/>
  <c r="G9" i="52"/>
  <c r="F9" i="52"/>
  <c r="F43" i="52" s="1"/>
  <c r="E9" i="52"/>
  <c r="E43" i="52" s="1"/>
  <c r="D9" i="52"/>
  <c r="D43" i="52" s="1"/>
  <c r="S8" i="52"/>
  <c r="S42" i="52" s="1"/>
  <c r="R8" i="52"/>
  <c r="Q8" i="52"/>
  <c r="P8" i="52"/>
  <c r="P42" i="52" s="1"/>
  <c r="O8" i="52"/>
  <c r="N8" i="52"/>
  <c r="N42" i="52" s="1"/>
  <c r="M8" i="52"/>
  <c r="M42" i="52" s="1"/>
  <c r="L8" i="52"/>
  <c r="L42" i="52" s="1"/>
  <c r="K8" i="52"/>
  <c r="J8" i="52"/>
  <c r="J42" i="52" s="1"/>
  <c r="I8" i="52"/>
  <c r="H8" i="52"/>
  <c r="H42" i="52" s="1"/>
  <c r="G8" i="52"/>
  <c r="G42" i="52" s="1"/>
  <c r="F8" i="52"/>
  <c r="E8" i="52"/>
  <c r="D8" i="52"/>
  <c r="D42" i="52" s="1"/>
  <c r="S7" i="52"/>
  <c r="R7" i="52"/>
  <c r="R41" i="52" s="1"/>
  <c r="Q7" i="52"/>
  <c r="Q41" i="52" s="1"/>
  <c r="P7" i="52"/>
  <c r="P41" i="52" s="1"/>
  <c r="O7" i="52"/>
  <c r="N7" i="52"/>
  <c r="N41" i="52" s="1"/>
  <c r="M7" i="52"/>
  <c r="L7" i="52"/>
  <c r="L41" i="52" s="1"/>
  <c r="K7" i="52"/>
  <c r="K41" i="52" s="1"/>
  <c r="J7" i="52"/>
  <c r="I7" i="52"/>
  <c r="H7" i="52"/>
  <c r="H41" i="52" s="1"/>
  <c r="G7" i="52"/>
  <c r="F7" i="52"/>
  <c r="F41" i="52" s="1"/>
  <c r="E7" i="52"/>
  <c r="E41" i="52" s="1"/>
  <c r="D7" i="52"/>
  <c r="D41" i="52" s="1"/>
  <c r="S6" i="52"/>
  <c r="R6" i="52"/>
  <c r="R40" i="52" s="1"/>
  <c r="Q6" i="52"/>
  <c r="Q40" i="52" s="1"/>
  <c r="P6" i="52"/>
  <c r="P40" i="52" s="1"/>
  <c r="O6" i="52"/>
  <c r="O40" i="52" s="1"/>
  <c r="N6" i="52"/>
  <c r="M6" i="52"/>
  <c r="L6" i="52"/>
  <c r="L40" i="52" s="1"/>
  <c r="K6" i="52"/>
  <c r="J6" i="52"/>
  <c r="J40" i="52" s="1"/>
  <c r="I6" i="52"/>
  <c r="I40" i="52" s="1"/>
  <c r="H6" i="52"/>
  <c r="H40" i="52" s="1"/>
  <c r="G6" i="52"/>
  <c r="F6" i="52"/>
  <c r="F40" i="52" s="1"/>
  <c r="E6" i="52"/>
  <c r="E40" i="52" s="1"/>
  <c r="D6" i="52"/>
  <c r="D40" i="52" s="1"/>
  <c r="S5" i="52"/>
  <c r="S39" i="52" s="1"/>
  <c r="R5" i="52"/>
  <c r="R39" i="52" s="1"/>
  <c r="Q5" i="52"/>
  <c r="P5" i="52"/>
  <c r="O5" i="52"/>
  <c r="N5" i="52"/>
  <c r="N39" i="52" s="1"/>
  <c r="M5" i="52"/>
  <c r="M39" i="52" s="1"/>
  <c r="L5" i="52"/>
  <c r="L39" i="52" s="1"/>
  <c r="K5" i="52"/>
  <c r="J5" i="52"/>
  <c r="J39" i="52" s="1"/>
  <c r="I5" i="52"/>
  <c r="I39" i="52" s="1"/>
  <c r="H5" i="52"/>
  <c r="H39" i="52" s="1"/>
  <c r="G5" i="52"/>
  <c r="G39" i="52" s="1"/>
  <c r="F5" i="52"/>
  <c r="E5" i="52"/>
  <c r="D5" i="52"/>
  <c r="D39" i="52" s="1"/>
  <c r="S4" i="52"/>
  <c r="R4" i="52"/>
  <c r="R38" i="52" s="1"/>
  <c r="Q4" i="52"/>
  <c r="Q38" i="52" s="1"/>
  <c r="P4" i="52"/>
  <c r="P38" i="52" s="1"/>
  <c r="O4" i="52"/>
  <c r="N4" i="52"/>
  <c r="N38" i="52" s="1"/>
  <c r="M4" i="52"/>
  <c r="M38" i="52" s="1"/>
  <c r="L4" i="52"/>
  <c r="L38" i="52" s="1"/>
  <c r="K4" i="52"/>
  <c r="K38" i="52" s="1"/>
  <c r="J4" i="52"/>
  <c r="I4" i="52"/>
  <c r="H4" i="52"/>
  <c r="H38" i="52" s="1"/>
  <c r="G4" i="52"/>
  <c r="F4" i="52"/>
  <c r="F38" i="52" s="1"/>
  <c r="E4" i="52"/>
  <c r="E38" i="52" s="1"/>
  <c r="D4" i="52"/>
  <c r="S3" i="52"/>
  <c r="R3" i="52"/>
  <c r="R37" i="52" s="1"/>
  <c r="Q3" i="52"/>
  <c r="P3" i="52"/>
  <c r="P37" i="52" s="1"/>
  <c r="O3" i="52"/>
  <c r="O37" i="52" s="1"/>
  <c r="N3" i="52"/>
  <c r="M3" i="52"/>
  <c r="L3" i="52"/>
  <c r="L37" i="52" s="1"/>
  <c r="K3" i="52"/>
  <c r="J3" i="52"/>
  <c r="J37" i="52" s="1"/>
  <c r="I3" i="52"/>
  <c r="I37" i="52" s="1"/>
  <c r="H3" i="52"/>
  <c r="H37" i="52" s="1"/>
  <c r="G3" i="52"/>
  <c r="F3" i="52"/>
  <c r="F37" i="52" s="1"/>
  <c r="E3" i="52"/>
  <c r="E37" i="52" s="1"/>
  <c r="D3" i="52"/>
  <c r="D37" i="52" s="1"/>
  <c r="S2" i="52"/>
  <c r="R2" i="52"/>
  <c r="Q2" i="52"/>
  <c r="P2" i="52"/>
  <c r="P36" i="52" s="1"/>
  <c r="O2" i="52"/>
  <c r="N2" i="52"/>
  <c r="N36" i="52" s="1"/>
  <c r="M2" i="52"/>
  <c r="M36" i="52" s="1"/>
  <c r="L2" i="52"/>
  <c r="L36" i="52" s="1"/>
  <c r="K2" i="52"/>
  <c r="J2" i="52"/>
  <c r="J36" i="52" s="1"/>
  <c r="I2" i="52"/>
  <c r="I36" i="52" s="1"/>
  <c r="H2" i="52"/>
  <c r="H36" i="52" s="1"/>
  <c r="G2" i="52"/>
  <c r="G36" i="52" s="1"/>
  <c r="F2" i="52"/>
  <c r="E2" i="52"/>
  <c r="D2" i="52"/>
  <c r="R130" i="53"/>
  <c r="R129" i="53"/>
  <c r="S135" i="53"/>
  <c r="U128" i="53"/>
  <c r="T135" i="53"/>
  <c r="U134" i="53"/>
  <c r="U145" i="53" s="1"/>
  <c r="D8" i="29"/>
  <c r="D14" i="29" s="1"/>
  <c r="E8" i="29"/>
  <c r="E14" i="29" s="1"/>
  <c r="F8" i="29"/>
  <c r="F14" i="29" s="1"/>
  <c r="G8" i="29"/>
  <c r="G14" i="29" s="1"/>
  <c r="H8" i="29"/>
  <c r="H14" i="29" s="1"/>
  <c r="W130" i="53"/>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X130" i="53"/>
  <c r="Z130" i="53"/>
  <c r="Z135" i="53"/>
  <c r="AA134" i="53"/>
  <c r="AB130" i="53"/>
  <c r="AB128" i="53"/>
  <c r="D5" i="44"/>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C135" i="53"/>
  <c r="AD135" i="53"/>
  <c r="AD127" i="53"/>
  <c r="AD130" i="53"/>
  <c r="AD131" i="53"/>
  <c r="AG135" i="53"/>
  <c r="AH130" i="53"/>
  <c r="AH134" i="53"/>
  <c r="AJ130" i="53"/>
  <c r="AJ135" i="53"/>
  <c r="AJ146" i="53" s="1"/>
  <c r="AI130" i="53"/>
  <c r="AK128" i="53"/>
  <c r="AK135" i="53"/>
  <c r="AK130" i="53"/>
  <c r="AM127" i="53"/>
  <c r="AM128" i="53"/>
  <c r="AL130" i="53"/>
  <c r="AN134" i="53"/>
  <c r="AP127" i="53"/>
  <c r="AP134" i="53"/>
  <c r="AP135" i="53"/>
  <c r="AR135" i="53"/>
  <c r="AQ135" i="53"/>
  <c r="AS135" i="53"/>
  <c r="AT130" i="53"/>
  <c r="AU130" i="53"/>
  <c r="AU141" i="53" s="1"/>
  <c r="AV135" i="53"/>
  <c r="L97" i="32"/>
  <c r="L73" i="32" s="1"/>
  <c r="L80" i="32" s="1"/>
  <c r="J97"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8" i="32" s="1"/>
  <c r="B34"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D128" i="32"/>
  <c r="C128" i="32"/>
  <c r="B128" i="32"/>
  <c r="D127" i="32"/>
  <c r="C127" i="32"/>
  <c r="B127" i="32"/>
  <c r="D126" i="32"/>
  <c r="C126" i="32"/>
  <c r="B126" i="32"/>
  <c r="D125" i="32"/>
  <c r="C125" i="32"/>
  <c r="B125" i="32"/>
  <c r="D124" i="32"/>
  <c r="C124" i="32"/>
  <c r="B124" i="32"/>
  <c r="D123" i="32"/>
  <c r="D83" i="32" s="1"/>
  <c r="C123" i="32"/>
  <c r="B123" i="32"/>
  <c r="D122" i="32"/>
  <c r="C122" i="32"/>
  <c r="B122" i="32"/>
  <c r="D121" i="32"/>
  <c r="C121" i="32"/>
  <c r="B121" i="32"/>
  <c r="D120" i="32"/>
  <c r="C120" i="32"/>
  <c r="B120" i="32"/>
  <c r="D119" i="32"/>
  <c r="C119" i="32"/>
  <c r="B119" i="32"/>
  <c r="D118" i="32"/>
  <c r="C118" i="32"/>
  <c r="B118" i="32"/>
  <c r="D117" i="32"/>
  <c r="C117" i="32"/>
  <c r="B117" i="32"/>
  <c r="D116" i="32"/>
  <c r="C116" i="32"/>
  <c r="B116" i="32"/>
  <c r="D115" i="32"/>
  <c r="C115" i="32"/>
  <c r="B115" i="32"/>
  <c r="D114" i="32"/>
  <c r="C114" i="32"/>
  <c r="B114" i="32"/>
  <c r="D113" i="32"/>
  <c r="D82" i="32" s="1"/>
  <c r="C113" i="32"/>
  <c r="B113" i="32"/>
  <c r="D112" i="32"/>
  <c r="C112" i="32"/>
  <c r="B112" i="32"/>
  <c r="D111" i="32"/>
  <c r="D90" i="32" s="1"/>
  <c r="C111" i="32"/>
  <c r="B111" i="32"/>
  <c r="D110" i="32"/>
  <c r="C110" i="32"/>
  <c r="B110" i="32"/>
  <c r="D109" i="32"/>
  <c r="C109" i="32"/>
  <c r="B109" i="32"/>
  <c r="D108" i="32"/>
  <c r="C108" i="32"/>
  <c r="B108" i="32"/>
  <c r="D107" i="32"/>
  <c r="C107" i="32"/>
  <c r="B107" i="32"/>
  <c r="D106" i="32"/>
  <c r="C106" i="32"/>
  <c r="B106" i="32"/>
  <c r="D105" i="32"/>
  <c r="C105" i="32"/>
  <c r="B105" i="32"/>
  <c r="D104" i="32"/>
  <c r="C104" i="32"/>
  <c r="B104" i="32"/>
  <c r="D103" i="32"/>
  <c r="C103" i="32"/>
  <c r="B103" i="32"/>
  <c r="D102" i="32"/>
  <c r="D81" i="32" s="1"/>
  <c r="C102" i="32"/>
  <c r="B102" i="32"/>
  <c r="D101" i="32"/>
  <c r="C101" i="32"/>
  <c r="B101" i="32"/>
  <c r="D100" i="32"/>
  <c r="C100" i="32"/>
  <c r="B100" i="32"/>
  <c r="I99" i="32"/>
  <c r="H99" i="32"/>
  <c r="G99" i="32"/>
  <c r="F99" i="32"/>
  <c r="E99" i="32"/>
  <c r="D99" i="32"/>
  <c r="C99" i="32"/>
  <c r="B99" i="32"/>
  <c r="C60" i="32"/>
  <c r="C69" i="32" s="1"/>
  <c r="B60" i="32"/>
  <c r="C59" i="32"/>
  <c r="C68" i="32" s="1"/>
  <c r="B59" i="32"/>
  <c r="C58" i="32"/>
  <c r="C67" i="32" s="1"/>
  <c r="B58" i="32"/>
  <c r="C57" i="32"/>
  <c r="C66" i="32" s="1"/>
  <c r="B57" i="32"/>
  <c r="C56" i="32"/>
  <c r="C65" i="32" s="1"/>
  <c r="B56" i="32"/>
  <c r="C55" i="32"/>
  <c r="C64" i="32" s="1"/>
  <c r="B55" i="32"/>
  <c r="C54" i="32"/>
  <c r="C63" i="32" s="1"/>
  <c r="B54" i="32"/>
  <c r="A99"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G5" i="32"/>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O5" i="32"/>
  <c r="AO4" i="32"/>
  <c r="AP4" i="32"/>
  <c r="AP5" i="32"/>
  <c r="G44" i="32"/>
  <c r="I20" i="57" s="1"/>
  <c r="I44" i="32"/>
  <c r="K20" i="57" s="1"/>
  <c r="H44" i="32"/>
  <c r="J20" i="57" s="1"/>
  <c r="F44" i="32"/>
  <c r="H20" i="57" s="1"/>
  <c r="E44" i="32"/>
  <c r="G43" i="32"/>
  <c r="I19" i="57" s="1"/>
  <c r="H43" i="32"/>
  <c r="J19" i="57" s="1"/>
  <c r="I43" i="32"/>
  <c r="K19" i="57" s="1"/>
  <c r="B188" i="53"/>
  <c r="AO135" i="53"/>
  <c r="AO146" i="53" s="1"/>
  <c r="Q135" i="53"/>
  <c r="Q146" i="53" s="1"/>
  <c r="AD134" i="53"/>
  <c r="U131" i="53"/>
  <c r="V130" i="53"/>
  <c r="AU128" i="53"/>
  <c r="AU139" i="53" s="1"/>
  <c r="AI128" i="53"/>
  <c r="W128" i="53"/>
  <c r="W139" i="53" s="1"/>
  <c r="AV127" i="53"/>
  <c r="X127" i="53"/>
  <c r="AF131" i="53"/>
  <c r="AG130" i="53"/>
  <c r="AT128" i="53"/>
  <c r="AT139" i="53" s="1"/>
  <c r="AU127" i="53"/>
  <c r="AM135" i="53"/>
  <c r="AR130" i="53"/>
  <c r="AS128" i="53"/>
  <c r="AG128" i="53"/>
  <c r="AH127" i="53"/>
  <c r="AB131" i="53"/>
  <c r="AO131" i="53"/>
  <c r="AR144" i="53"/>
  <c r="L130" i="53"/>
  <c r="Q129" i="53"/>
  <c r="N130" i="53"/>
  <c r="J130" i="53"/>
  <c r="L135" i="53"/>
  <c r="L146" i="53" s="1"/>
  <c r="D21" i="39"/>
  <c r="N127" i="53"/>
  <c r="J135" i="53"/>
  <c r="AE135" i="53"/>
  <c r="W135" i="53"/>
  <c r="W146" i="53" s="1"/>
  <c r="AR134" i="53"/>
  <c r="AR145" i="53" s="1"/>
  <c r="AO133" i="53"/>
  <c r="AI131" i="53"/>
  <c r="AV130" i="53"/>
  <c r="AV141" i="53" s="1"/>
  <c r="AN130" i="53"/>
  <c r="AF130" i="53"/>
  <c r="P130" i="53"/>
  <c r="L129" i="53"/>
  <c r="AO128" i="53"/>
  <c r="Y128" i="53"/>
  <c r="Y139" i="53" s="1"/>
  <c r="Q128" i="53"/>
  <c r="AT127" i="53"/>
  <c r="AL127" i="53"/>
  <c r="V127" i="53"/>
  <c r="P139" i="53"/>
  <c r="AG133" i="53"/>
  <c r="Y133" i="53"/>
  <c r="AQ133" i="53"/>
  <c r="M135" i="53"/>
  <c r="Z133" i="53"/>
  <c r="O130" i="53"/>
  <c r="O141" i="53" s="1"/>
  <c r="V133" i="53"/>
  <c r="J133" i="53"/>
  <c r="Q133" i="53"/>
  <c r="AS133" i="53"/>
  <c r="AS144" i="53"/>
  <c r="AM133" i="53"/>
  <c r="AK133" i="53"/>
  <c r="AK144" i="53" s="1"/>
  <c r="S133" i="53"/>
  <c r="B237" i="53"/>
  <c r="N133" i="53"/>
  <c r="AU133" i="53"/>
  <c r="AP133" i="53"/>
  <c r="AP144" i="53" s="1"/>
  <c r="AE133" i="53"/>
  <c r="AD133" i="53"/>
  <c r="AD144" i="53" s="1"/>
  <c r="W133" i="53"/>
  <c r="W144" i="53"/>
  <c r="D11" i="39"/>
  <c r="M128" i="53"/>
  <c r="M139" i="53" s="1"/>
  <c r="AA133" i="53"/>
  <c r="K133" i="53"/>
  <c r="K144" i="53" s="1"/>
  <c r="D255" i="53"/>
  <c r="I49" i="53"/>
  <c r="J128" i="53"/>
  <c r="L133" i="53"/>
  <c r="L144" i="53" s="1"/>
  <c r="R133" i="53"/>
  <c r="R144" i="53"/>
  <c r="O127" i="53"/>
  <c r="AL133" i="53"/>
  <c r="AL144" i="53" s="1"/>
  <c r="AC133" i="53"/>
  <c r="AC144" i="53" s="1"/>
  <c r="AB133" i="53"/>
  <c r="U133" i="53"/>
  <c r="U144" i="53" s="1"/>
  <c r="AT146" i="53"/>
  <c r="C81" i="53"/>
  <c r="C92" i="53" s="1"/>
  <c r="C151" i="53" s="1"/>
  <c r="D263" i="53"/>
  <c r="B234" i="53"/>
  <c r="AH133" i="53"/>
  <c r="AH144" i="53" s="1"/>
  <c r="C112" i="53"/>
  <c r="C123" i="53" s="1"/>
  <c r="C134" i="53" s="1"/>
  <c r="C145" i="53" s="1"/>
  <c r="C169" i="53" s="1"/>
  <c r="C240" i="53" s="1"/>
  <c r="B241" i="53"/>
  <c r="E141" i="53"/>
  <c r="AJ139" i="53"/>
  <c r="AB139" i="53"/>
  <c r="E145" i="53"/>
  <c r="K135" i="53"/>
  <c r="AF135" i="53"/>
  <c r="AF146" i="53" s="1"/>
  <c r="P135" i="53"/>
  <c r="L131" i="53"/>
  <c r="Z128" i="53"/>
  <c r="Z139" i="53" s="1"/>
  <c r="W127" i="53"/>
  <c r="O135" i="53"/>
  <c r="L134" i="53"/>
  <c r="L145" i="53" s="1"/>
  <c r="C87" i="53"/>
  <c r="D25" i="39" s="1"/>
  <c r="D15" i="39"/>
  <c r="N135" i="53"/>
  <c r="AN133" i="53"/>
  <c r="AN144" i="53" s="1"/>
  <c r="P133" i="53"/>
  <c r="P144" i="53"/>
  <c r="AE130" i="53"/>
  <c r="AE141" i="53" s="1"/>
  <c r="AF128" i="53"/>
  <c r="AI139" i="53"/>
  <c r="O133" i="53"/>
  <c r="Q131" i="53"/>
  <c r="O128" i="53"/>
  <c r="T127" i="53"/>
  <c r="K7" i="53"/>
  <c r="AB135" i="53"/>
  <c r="AB146" i="53"/>
  <c r="AT133" i="53"/>
  <c r="AV131" i="53"/>
  <c r="M130" i="53"/>
  <c r="N128" i="53"/>
  <c r="N139" i="53" s="1"/>
  <c r="AA127" i="53"/>
  <c r="AK139" i="53"/>
  <c r="D19" i="39"/>
  <c r="D9" i="39"/>
  <c r="K130" i="53"/>
  <c r="AA135" i="53"/>
  <c r="AA146" i="53"/>
  <c r="O131" i="53"/>
  <c r="T130" i="53"/>
  <c r="O134" i="53"/>
  <c r="T128" i="53"/>
  <c r="AG127" i="53"/>
  <c r="M97" i="32"/>
  <c r="C88" i="53"/>
  <c r="K127" i="53"/>
  <c r="K128" i="53"/>
  <c r="AT134" i="53"/>
  <c r="AI133" i="53"/>
  <c r="AI144" i="53" s="1"/>
  <c r="AC131" i="53"/>
  <c r="AP130" i="53"/>
  <c r="O129" i="53"/>
  <c r="AQ128" i="53"/>
  <c r="AA128" i="53"/>
  <c r="AA139" i="53" s="1"/>
  <c r="S128" i="53"/>
  <c r="S139" i="53" s="1"/>
  <c r="P127" i="53"/>
  <c r="D36" i="52"/>
  <c r="N47" i="52"/>
  <c r="G38" i="52"/>
  <c r="S38" i="52"/>
  <c r="O39" i="52"/>
  <c r="K40" i="52"/>
  <c r="G41" i="52"/>
  <c r="S41" i="52"/>
  <c r="O42" i="52"/>
  <c r="K43" i="52"/>
  <c r="G44" i="52"/>
  <c r="S44" i="52"/>
  <c r="O45" i="52"/>
  <c r="K46" i="52"/>
  <c r="G47" i="52"/>
  <c r="S47" i="52"/>
  <c r="O48" i="52"/>
  <c r="K49" i="52"/>
  <c r="G50" i="52"/>
  <c r="S50" i="52"/>
  <c r="O51" i="52"/>
  <c r="K52" i="52"/>
  <c r="P39" i="52"/>
  <c r="P45" i="52"/>
  <c r="P51" i="52"/>
  <c r="O36" i="52"/>
  <c r="K37" i="52"/>
  <c r="L45" i="52"/>
  <c r="K44" i="52"/>
  <c r="O38" i="52"/>
  <c r="O50" i="52"/>
  <c r="Q49" i="52"/>
  <c r="R46" i="52"/>
  <c r="L44" i="52"/>
  <c r="I42" i="52"/>
  <c r="E49" i="52"/>
  <c r="Q52" i="52"/>
  <c r="P49" i="52"/>
  <c r="Q37" i="52"/>
  <c r="M41" i="52"/>
  <c r="S36" i="52"/>
  <c r="S48" i="52"/>
  <c r="J52" i="52"/>
  <c r="E143" i="53"/>
  <c r="O132" i="53"/>
  <c r="K132" i="53"/>
  <c r="K143" i="53" s="1"/>
  <c r="T132" i="53"/>
  <c r="M132" i="53"/>
  <c r="M143" i="53" s="1"/>
  <c r="V132" i="53"/>
  <c r="Y132" i="53"/>
  <c r="Y143" i="53" s="1"/>
  <c r="AA132" i="53"/>
  <c r="AS132" i="53"/>
  <c r="AS143" i="53" s="1"/>
  <c r="U132" i="53"/>
  <c r="AE132" i="53"/>
  <c r="AE143" i="53" s="1"/>
  <c r="N132" i="53"/>
  <c r="AG132" i="53"/>
  <c r="S132" i="53"/>
  <c r="AC132" i="53"/>
  <c r="AC143" i="53" s="1"/>
  <c r="AB132" i="53"/>
  <c r="AK132" i="53"/>
  <c r="AK143" i="53" s="1"/>
  <c r="AM132" i="53"/>
  <c r="AI132" i="53"/>
  <c r="AI143" i="53" s="1"/>
  <c r="AH132" i="53"/>
  <c r="AJ132" i="53"/>
  <c r="AJ143" i="53" s="1"/>
  <c r="AD132" i="53"/>
  <c r="AQ132" i="53"/>
  <c r="AQ143" i="53" s="1"/>
  <c r="AV132" i="53"/>
  <c r="Z132" i="53"/>
  <c r="AN132" i="53"/>
  <c r="AF132" i="53"/>
  <c r="AF143" i="53" s="1"/>
  <c r="AL132" i="53"/>
  <c r="AR132" i="53"/>
  <c r="AR143" i="53" s="1"/>
  <c r="AT132" i="53"/>
  <c r="AP132" i="53"/>
  <c r="AP143" i="53" s="1"/>
  <c r="AO132" i="53"/>
  <c r="D253" i="53"/>
  <c r="B238" i="53"/>
  <c r="E108" i="47"/>
  <c r="E5" i="44"/>
  <c r="F5" i="44" s="1"/>
  <c r="K21" i="32"/>
  <c r="D10" i="39"/>
  <c r="C106" i="53"/>
  <c r="C117" i="53" s="1"/>
  <c r="C128" i="53" s="1"/>
  <c r="C139" i="53" s="1"/>
  <c r="C163" i="53" s="1"/>
  <c r="C234" i="53" s="1"/>
  <c r="AU132" i="53"/>
  <c r="W132" i="53"/>
  <c r="C98" i="53"/>
  <c r="C157" i="53" s="1"/>
  <c r="M146" i="53"/>
  <c r="J132" i="53"/>
  <c r="J143" i="53" s="1"/>
  <c r="D259" i="53"/>
  <c r="B187" i="53"/>
  <c r="B198" i="53" s="1"/>
  <c r="B209" i="53" s="1"/>
  <c r="B221" i="53" s="1"/>
  <c r="D22" i="39"/>
  <c r="Q132" i="53"/>
  <c r="I51" i="53"/>
  <c r="B51" i="53"/>
  <c r="D14" i="39"/>
  <c r="C86" i="53"/>
  <c r="D24" i="39" s="1"/>
  <c r="C110" i="53"/>
  <c r="C121" i="53" s="1"/>
  <c r="C132" i="53" s="1"/>
  <c r="C143" i="53" s="1"/>
  <c r="C167" i="53" s="1"/>
  <c r="P132" i="53"/>
  <c r="P143" i="53" s="1"/>
  <c r="D265" i="53"/>
  <c r="B204" i="53"/>
  <c r="B215" i="53" s="1"/>
  <c r="B227" i="53" s="1"/>
  <c r="C174" i="53"/>
  <c r="C186" i="53" s="1"/>
  <c r="C197" i="53" s="1"/>
  <c r="C208" i="53" s="1"/>
  <c r="C220" i="53" s="1"/>
  <c r="C233" i="53"/>
  <c r="I50" i="53"/>
  <c r="R132" i="53"/>
  <c r="D266" i="53"/>
  <c r="B194" i="53"/>
  <c r="L139" i="53"/>
  <c r="X132" i="53"/>
  <c r="L132" i="53"/>
  <c r="L143" i="53" s="1"/>
  <c r="D261" i="53"/>
  <c r="B189" i="53"/>
  <c r="B200" i="53" s="1"/>
  <c r="B211" i="53" s="1"/>
  <c r="B223" i="53" s="1"/>
  <c r="B190" i="53"/>
  <c r="B201" i="53" s="1"/>
  <c r="B212" i="53" s="1"/>
  <c r="B224" i="53" s="1"/>
  <c r="D262" i="53"/>
  <c r="B214" i="53"/>
  <c r="B199" i="53"/>
  <c r="D38" i="52"/>
  <c r="H49" i="52"/>
  <c r="P50" i="52"/>
  <c r="D12" i="39"/>
  <c r="C108" i="53"/>
  <c r="C119" i="53" s="1"/>
  <c r="C130" i="53" s="1"/>
  <c r="C141" i="53" s="1"/>
  <c r="C165" i="53" s="1"/>
  <c r="C236" i="53" s="1"/>
  <c r="B186" i="53"/>
  <c r="C89" i="53"/>
  <c r="C100" i="53" s="1"/>
  <c r="C159" i="53" s="1"/>
  <c r="E46" i="52"/>
  <c r="L127" i="53"/>
  <c r="B233" i="53"/>
  <c r="M133" i="53"/>
  <c r="M144" i="53" s="1"/>
  <c r="H88" i="53"/>
  <c r="C107" i="53"/>
  <c r="C118" i="53" s="1"/>
  <c r="C129" i="53" s="1"/>
  <c r="C140" i="53" s="1"/>
  <c r="C164" i="53" s="1"/>
  <c r="C181" i="53"/>
  <c r="C193" i="53" s="1"/>
  <c r="C204" i="53" s="1"/>
  <c r="C215" i="53" s="1"/>
  <c r="C227" i="53" s="1"/>
  <c r="T141" i="53"/>
  <c r="AR141" i="53"/>
  <c r="AD145" i="53"/>
  <c r="AH145" i="53"/>
  <c r="O145" i="53"/>
  <c r="W141" i="53"/>
  <c r="W143" i="53"/>
  <c r="Y141" i="53"/>
  <c r="U141" i="53"/>
  <c r="AF141" i="53"/>
  <c r="AL141" i="53"/>
  <c r="AJ141" i="53"/>
  <c r="AM143" i="53"/>
  <c r="AN145" i="53"/>
  <c r="AP145" i="53"/>
  <c r="AB143" i="53"/>
  <c r="B197" i="53"/>
  <c r="B208" i="53" s="1"/>
  <c r="B220" i="53" s="1"/>
  <c r="D27" i="39"/>
  <c r="B205" i="53"/>
  <c r="B216" i="53" s="1"/>
  <c r="B228" i="53" s="1"/>
  <c r="B226" i="53"/>
  <c r="B210" i="53"/>
  <c r="B222" i="53" s="1"/>
  <c r="B213" i="53"/>
  <c r="B225" i="53"/>
  <c r="E33" i="29"/>
  <c r="J33" i="29" s="1"/>
  <c r="J47" i="29" s="1"/>
  <c r="J36" i="29"/>
  <c r="J51" i="29" s="1"/>
  <c r="AC75" i="32" l="1"/>
  <c r="AB93" i="32"/>
  <c r="AB92" i="32"/>
  <c r="G48" i="32"/>
  <c r="AP6" i="32"/>
  <c r="AO6" i="32"/>
  <c r="H48" i="32"/>
  <c r="AI6" i="32"/>
  <c r="AI7" i="32" s="1"/>
  <c r="K6" i="32"/>
  <c r="AG6" i="32"/>
  <c r="AG7" i="32" s="1"/>
  <c r="AM6" i="32"/>
  <c r="AM7" i="32" s="1"/>
  <c r="AO7" i="32"/>
  <c r="D89" i="32"/>
  <c r="AA6" i="32"/>
  <c r="AA7" i="32" s="1"/>
  <c r="D91" i="32"/>
  <c r="D93" i="32"/>
  <c r="Z6" i="32"/>
  <c r="Z7" i="32" s="1"/>
  <c r="AH6" i="32"/>
  <c r="AH7" i="32" s="1"/>
  <c r="AP7" i="32"/>
  <c r="AD6" i="32"/>
  <c r="D92" i="32"/>
  <c r="S143" i="53"/>
  <c r="AN143" i="53"/>
  <c r="O143" i="53"/>
  <c r="AO143" i="53"/>
  <c r="AT143" i="53"/>
  <c r="T143" i="53"/>
  <c r="AV143" i="53"/>
  <c r="AC142" i="53"/>
  <c r="AF142" i="53"/>
  <c r="C93" i="53"/>
  <c r="C152" i="53" s="1"/>
  <c r="D20" i="39"/>
  <c r="Q143" i="53"/>
  <c r="AA143" i="53"/>
  <c r="M73" i="32"/>
  <c r="M80" i="32" s="1"/>
  <c r="N97" i="32"/>
  <c r="N73" i="32" s="1"/>
  <c r="N80" i="32" s="1"/>
  <c r="AV142" i="53"/>
  <c r="L142" i="53"/>
  <c r="AB142" i="53"/>
  <c r="AA145" i="53"/>
  <c r="K6" i="53"/>
  <c r="K5" i="53"/>
  <c r="K8" i="53" s="1"/>
  <c r="K88" i="53" s="1"/>
  <c r="C109" i="53"/>
  <c r="C120" i="53" s="1"/>
  <c r="C131" i="53" s="1"/>
  <c r="C142" i="53" s="1"/>
  <c r="C166" i="53" s="1"/>
  <c r="C85" i="53"/>
  <c r="C96" i="53" s="1"/>
  <c r="C155" i="53" s="1"/>
  <c r="T129" i="53"/>
  <c r="AI129" i="53"/>
  <c r="E142" i="53"/>
  <c r="AD142" i="53" s="1"/>
  <c r="AU131" i="53"/>
  <c r="AU142" i="53" s="1"/>
  <c r="AG131" i="53"/>
  <c r="AG142" i="53" s="1"/>
  <c r="Y131" i="53"/>
  <c r="Y142" i="53" s="1"/>
  <c r="W131" i="53"/>
  <c r="W142" i="53" s="1"/>
  <c r="AQ131" i="53"/>
  <c r="AQ142" i="53" s="1"/>
  <c r="V134" i="53"/>
  <c r="V145" i="53" s="1"/>
  <c r="Z134" i="53"/>
  <c r="Z145" i="53" s="1"/>
  <c r="R134" i="53"/>
  <c r="R145" i="53" s="1"/>
  <c r="AB134" i="53"/>
  <c r="AB145" i="53" s="1"/>
  <c r="AJ134" i="53"/>
  <c r="AJ145" i="53" s="1"/>
  <c r="K134" i="53"/>
  <c r="K145" i="53" s="1"/>
  <c r="D250" i="53"/>
  <c r="B235" i="53"/>
  <c r="F19" i="57"/>
  <c r="G19" i="57" s="1"/>
  <c r="E19" i="57"/>
  <c r="F48" i="32"/>
  <c r="D17" i="39"/>
  <c r="R139" i="53"/>
  <c r="X143" i="53"/>
  <c r="C182" i="53"/>
  <c r="C194" i="53" s="1"/>
  <c r="C205" i="53" s="1"/>
  <c r="C216" i="53" s="1"/>
  <c r="C228" i="53" s="1"/>
  <c r="AU143" i="53"/>
  <c r="K3" i="53"/>
  <c r="AL143" i="53"/>
  <c r="AD143" i="53"/>
  <c r="AH143" i="53"/>
  <c r="U143" i="53"/>
  <c r="V143" i="53"/>
  <c r="AQ139" i="53"/>
  <c r="AM129" i="53"/>
  <c r="M131" i="53"/>
  <c r="M142" i="53" s="1"/>
  <c r="AK131" i="53"/>
  <c r="AK142" i="53" s="1"/>
  <c r="N134" i="53"/>
  <c r="N145" i="53" s="1"/>
  <c r="K139" i="53"/>
  <c r="K22" i="53"/>
  <c r="T139" i="53"/>
  <c r="P134" i="53"/>
  <c r="P145" i="53" s="1"/>
  <c r="J129" i="53"/>
  <c r="J140" i="53" s="1"/>
  <c r="K67" i="53"/>
  <c r="K104" i="53" s="1"/>
  <c r="AD139" i="53"/>
  <c r="AN139" i="53"/>
  <c r="X131" i="53"/>
  <c r="X142" i="53" s="1"/>
  <c r="AT144" i="53"/>
  <c r="O139" i="53"/>
  <c r="O144" i="53"/>
  <c r="J131" i="53"/>
  <c r="J142" i="53" s="1"/>
  <c r="AF139" i="53"/>
  <c r="R131" i="53"/>
  <c r="R142" i="53" s="1"/>
  <c r="L4" i="53"/>
  <c r="L5" i="53" s="1"/>
  <c r="S131" i="53"/>
  <c r="S142" i="53" s="1"/>
  <c r="N129" i="53"/>
  <c r="T131" i="53"/>
  <c r="T142" i="53" s="1"/>
  <c r="J134" i="53"/>
  <c r="J145" i="53" s="1"/>
  <c r="AO139" i="53"/>
  <c r="M129" i="53"/>
  <c r="P131" i="53"/>
  <c r="P142" i="53" s="1"/>
  <c r="AB144" i="53"/>
  <c r="J139" i="53"/>
  <c r="AA144" i="53"/>
  <c r="AE144" i="53"/>
  <c r="AU144" i="53"/>
  <c r="N144" i="53"/>
  <c r="Q144" i="53"/>
  <c r="V144" i="53"/>
  <c r="Z144" i="53"/>
  <c r="AQ144" i="53"/>
  <c r="AG144" i="53"/>
  <c r="M134" i="53"/>
  <c r="M145" i="53" s="1"/>
  <c r="AA131" i="53"/>
  <c r="AA142" i="53" s="1"/>
  <c r="T134" i="53"/>
  <c r="T145" i="53" s="1"/>
  <c r="D13" i="39"/>
  <c r="AU129" i="53"/>
  <c r="S129" i="53"/>
  <c r="Z131" i="53"/>
  <c r="Z142" i="53" s="1"/>
  <c r="AM131" i="53"/>
  <c r="AM142" i="53" s="1"/>
  <c r="AS139" i="53"/>
  <c r="AE131" i="53"/>
  <c r="AE142" i="53" s="1"/>
  <c r="Q134" i="53"/>
  <c r="Q145" i="53" s="1"/>
  <c r="AS131" i="53"/>
  <c r="AS142" i="53" s="1"/>
  <c r="F20" i="57"/>
  <c r="G20" i="57" s="1"/>
  <c r="E20" i="57"/>
  <c r="AD7" i="32"/>
  <c r="AT131" i="53"/>
  <c r="AT142" i="53" s="1"/>
  <c r="AR129" i="53"/>
  <c r="AH141" i="53"/>
  <c r="AF134" i="53"/>
  <c r="AF145" i="53" s="1"/>
  <c r="AD141" i="53"/>
  <c r="V131" i="53"/>
  <c r="V142" i="53" s="1"/>
  <c r="K131" i="53"/>
  <c r="K142" i="53" s="1"/>
  <c r="AU134" i="53"/>
  <c r="AS134" i="53"/>
  <c r="AS145" i="53" s="1"/>
  <c r="AQ134" i="53"/>
  <c r="AQ145" i="53" s="1"/>
  <c r="AO134" i="53"/>
  <c r="AO145" i="53" s="1"/>
  <c r="AM134" i="53"/>
  <c r="AM145" i="53" s="1"/>
  <c r="AK134" i="53"/>
  <c r="AK145" i="53" s="1"/>
  <c r="AI134" i="53"/>
  <c r="AI145" i="53" s="1"/>
  <c r="AG134" i="53"/>
  <c r="AG145" i="53" s="1"/>
  <c r="AE134" i="53"/>
  <c r="AE145" i="53" s="1"/>
  <c r="AC134" i="53"/>
  <c r="AC145" i="53" s="1"/>
  <c r="Y134" i="53"/>
  <c r="Y145" i="53" s="1"/>
  <c r="W134" i="53"/>
  <c r="W145" i="53" s="1"/>
  <c r="S134" i="53"/>
  <c r="S145" i="53" s="1"/>
  <c r="AV144" i="53"/>
  <c r="AJ144" i="53"/>
  <c r="AF144" i="53"/>
  <c r="X144" i="53"/>
  <c r="T144" i="53"/>
  <c r="AR131" i="53"/>
  <c r="AR142" i="53" s="1"/>
  <c r="AP131" i="53"/>
  <c r="AP142" i="53" s="1"/>
  <c r="AN131" i="53"/>
  <c r="AN142" i="53" s="1"/>
  <c r="AL131" i="53"/>
  <c r="AL142" i="53" s="1"/>
  <c r="AH131" i="53"/>
  <c r="AH142" i="53" s="1"/>
  <c r="N131" i="53"/>
  <c r="N142" i="53" s="1"/>
  <c r="AC141" i="53"/>
  <c r="AA141" i="53"/>
  <c r="X129" i="53"/>
  <c r="V139" i="53"/>
  <c r="S144" i="53"/>
  <c r="AM144" i="53"/>
  <c r="J144" i="53"/>
  <c r="Y144" i="53"/>
  <c r="Q139" i="53"/>
  <c r="N141" i="53"/>
  <c r="L141" i="53"/>
  <c r="AG139" i="53"/>
  <c r="E113" i="47"/>
  <c r="E111" i="47"/>
  <c r="E109" i="47"/>
  <c r="Q6" i="32"/>
  <c r="Q7" i="32" s="1"/>
  <c r="AT141" i="53"/>
  <c r="AM139" i="53"/>
  <c r="U139" i="53"/>
  <c r="AV128" i="53"/>
  <c r="AV139" i="53" s="1"/>
  <c r="AU135" i="53"/>
  <c r="AU146" i="53" s="1"/>
  <c r="AI135" i="53"/>
  <c r="Y135" i="53"/>
  <c r="AV134" i="53"/>
  <c r="AV145" i="53" s="1"/>
  <c r="AL134" i="53"/>
  <c r="AL145" i="53" s="1"/>
  <c r="X134" i="53"/>
  <c r="X145" i="53" s="1"/>
  <c r="AE128" i="53"/>
  <c r="AE139" i="53" s="1"/>
  <c r="AC128" i="53"/>
  <c r="AC139" i="53" s="1"/>
  <c r="AR127" i="53"/>
  <c r="AR138" i="53" s="1"/>
  <c r="F34" i="44"/>
  <c r="F29" i="44"/>
  <c r="F30" i="44" s="1"/>
  <c r="F28" i="44"/>
  <c r="F27" i="44"/>
  <c r="F8" i="44"/>
  <c r="F10" i="44"/>
  <c r="F12" i="44"/>
  <c r="F14" i="44"/>
  <c r="F16" i="44"/>
  <c r="F18" i="44"/>
  <c r="F20" i="44"/>
  <c r="F22" i="44"/>
  <c r="F24" i="44"/>
  <c r="F7" i="44"/>
  <c r="F9" i="44"/>
  <c r="F11" i="44"/>
  <c r="F13" i="44"/>
  <c r="F15" i="44"/>
  <c r="F17" i="44"/>
  <c r="F19" i="44"/>
  <c r="F21" i="44"/>
  <c r="F23" i="44"/>
  <c r="L21" i="32"/>
  <c r="E34" i="44"/>
  <c r="E29" i="44"/>
  <c r="E28" i="44"/>
  <c r="E27" i="44"/>
  <c r="E8" i="44"/>
  <c r="E10" i="44"/>
  <c r="E12" i="44"/>
  <c r="E14" i="44"/>
  <c r="E16" i="44"/>
  <c r="E18" i="44"/>
  <c r="E20" i="44"/>
  <c r="E22" i="44"/>
  <c r="E24" i="44"/>
  <c r="E7" i="44"/>
  <c r="E9" i="44"/>
  <c r="E11" i="44"/>
  <c r="E13" i="44"/>
  <c r="E15" i="44"/>
  <c r="E17" i="44"/>
  <c r="E19" i="44"/>
  <c r="E21" i="44"/>
  <c r="E23" i="44"/>
  <c r="D28" i="44"/>
  <c r="D34" i="44"/>
  <c r="D35" i="44" s="1"/>
  <c r="D29" i="44"/>
  <c r="D27" i="44"/>
  <c r="D7" i="44"/>
  <c r="D9" i="44"/>
  <c r="D11" i="44"/>
  <c r="D13" i="44"/>
  <c r="D15" i="44"/>
  <c r="D17" i="44"/>
  <c r="D19" i="44"/>
  <c r="D21" i="44"/>
  <c r="D23" i="44"/>
  <c r="D8" i="44"/>
  <c r="D10" i="44"/>
  <c r="D12" i="44"/>
  <c r="D14" i="44"/>
  <c r="D16" i="44"/>
  <c r="D18" i="44"/>
  <c r="D20" i="44"/>
  <c r="D22" i="44"/>
  <c r="D24" i="44"/>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K114" i="56" s="1"/>
  <c r="D135" i="56"/>
  <c r="B16" i="56"/>
  <c r="D142" i="56"/>
  <c r="D121" i="56"/>
  <c r="K121" i="56" s="1"/>
  <c r="B23" i="56"/>
  <c r="D144" i="56"/>
  <c r="D123" i="56"/>
  <c r="K123" i="56" s="1"/>
  <c r="B25" i="56"/>
  <c r="C29" i="56"/>
  <c r="C52" i="56" s="1"/>
  <c r="C95" i="56"/>
  <c r="C79" i="56" s="1"/>
  <c r="B21" i="56"/>
  <c r="D140" i="56"/>
  <c r="D119" i="56"/>
  <c r="K119" i="56" s="1"/>
  <c r="C102" i="56"/>
  <c r="C86" i="56" s="1"/>
  <c r="C36" i="56"/>
  <c r="C59" i="56" s="1"/>
  <c r="D133" i="56"/>
  <c r="D112" i="56"/>
  <c r="K112" i="56" s="1"/>
  <c r="B14" i="56"/>
  <c r="B39" i="56" s="1"/>
  <c r="B46" i="56" s="1"/>
  <c r="C100" i="56"/>
  <c r="C84" i="56" s="1"/>
  <c r="C34" i="56"/>
  <c r="C57" i="56" s="1"/>
  <c r="C39" i="56"/>
  <c r="C46" i="56" s="1"/>
  <c r="C93" i="56"/>
  <c r="C77" i="56" s="1"/>
  <c r="B19" i="56"/>
  <c r="D138" i="56"/>
  <c r="D117" i="56"/>
  <c r="K117" i="56" s="1"/>
  <c r="C98" i="56"/>
  <c r="C82" i="56" s="1"/>
  <c r="C32" i="56"/>
  <c r="C55" i="56" s="1"/>
  <c r="B17" i="56"/>
  <c r="D136" i="56"/>
  <c r="D115" i="56"/>
  <c r="K115" i="56" s="1"/>
  <c r="C96" i="56"/>
  <c r="C80" i="56" s="1"/>
  <c r="C30" i="56"/>
  <c r="C53" i="56" s="1"/>
  <c r="D141" i="56"/>
  <c r="D120" i="56"/>
  <c r="K120" i="56" s="1"/>
  <c r="B22" i="56"/>
  <c r="D143" i="56"/>
  <c r="D122" i="56"/>
  <c r="K122" i="56" s="1"/>
  <c r="B24" i="56"/>
  <c r="B40" i="56" s="1"/>
  <c r="B47" i="56" s="1"/>
  <c r="D134" i="56"/>
  <c r="D113" i="56"/>
  <c r="K113" i="56" s="1"/>
  <c r="B15" i="56"/>
  <c r="C101" i="56"/>
  <c r="C85" i="56" s="1"/>
  <c r="C35" i="56"/>
  <c r="C58" i="56" s="1"/>
  <c r="C103" i="56"/>
  <c r="C87" i="56" s="1"/>
  <c r="C40" i="56"/>
  <c r="C47" i="56" s="1"/>
  <c r="B18" i="56"/>
  <c r="D137" i="56"/>
  <c r="D116" i="56"/>
  <c r="K116" i="56" s="1"/>
  <c r="C94" i="56"/>
  <c r="C78" i="56" s="1"/>
  <c r="C28" i="56"/>
  <c r="C51" i="56" s="1"/>
  <c r="B20" i="56"/>
  <c r="D139" i="56"/>
  <c r="D118" i="56"/>
  <c r="K118" i="56" s="1"/>
  <c r="D132" i="56"/>
  <c r="D111" i="56"/>
  <c r="K111" i="56" s="1"/>
  <c r="B13" i="56"/>
  <c r="C99" i="56"/>
  <c r="C83" i="56" s="1"/>
  <c r="C33" i="56"/>
  <c r="C56" i="56" s="1"/>
  <c r="J106" i="47"/>
  <c r="AM106" i="47"/>
  <c r="I106" i="47"/>
  <c r="AM102" i="47"/>
  <c r="J104" i="47"/>
  <c r="AM104" i="47"/>
  <c r="G104" i="47"/>
  <c r="H104" i="47"/>
  <c r="I104" i="47"/>
  <c r="AM100" i="47"/>
  <c r="AM107" i="47"/>
  <c r="AM105" i="47"/>
  <c r="AM103" i="47"/>
  <c r="AM101" i="47"/>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E116" i="47"/>
  <c r="AC146" i="53"/>
  <c r="S146" i="53"/>
  <c r="AK146" i="53"/>
  <c r="AN146" i="53"/>
  <c r="Z146" i="53"/>
  <c r="K146" i="53"/>
  <c r="AR146" i="53"/>
  <c r="J6" i="32"/>
  <c r="J7" i="32" s="1"/>
  <c r="AS146" i="53"/>
  <c r="K12" i="53" a="1"/>
  <c r="K12" i="53" s="1"/>
  <c r="K11" i="53" s="1"/>
  <c r="D15" i="53"/>
  <c r="J12" i="53" s="1" a="1"/>
  <c r="J12" i="53" s="1"/>
  <c r="J11" i="53" s="1"/>
  <c r="E118" i="47"/>
  <c r="T146" i="53"/>
  <c r="O97" i="32"/>
  <c r="O73" i="32" s="1"/>
  <c r="O80" i="32" s="1"/>
  <c r="C175" i="53"/>
  <c r="C187" i="53" s="1"/>
  <c r="C198" i="53" s="1"/>
  <c r="C209" i="53" s="1"/>
  <c r="C221" i="53" s="1"/>
  <c r="M6" i="32"/>
  <c r="M7" i="32" s="1"/>
  <c r="AL6" i="32"/>
  <c r="AG146" i="53"/>
  <c r="AN7" i="32"/>
  <c r="AD146" i="53"/>
  <c r="R146" i="53"/>
  <c r="L67" i="53"/>
  <c r="L104" i="53" s="1"/>
  <c r="E110" i="47"/>
  <c r="AC6" i="32"/>
  <c r="AC7" i="32" s="1"/>
  <c r="V6" i="32"/>
  <c r="V7" i="32" s="1"/>
  <c r="AF6" i="32"/>
  <c r="AF7" i="32" s="1"/>
  <c r="R140" i="53"/>
  <c r="E140" i="53"/>
  <c r="L140" i="53" s="1"/>
  <c r="AH129" i="53"/>
  <c r="AQ129" i="53"/>
  <c r="AF129" i="53"/>
  <c r="V129" i="53"/>
  <c r="AD129" i="53"/>
  <c r="AD140" i="53" s="1"/>
  <c r="U129" i="53"/>
  <c r="U140" i="53" s="1"/>
  <c r="Y129" i="53"/>
  <c r="Z129" i="53"/>
  <c r="Z140" i="53" s="1"/>
  <c r="AV129" i="53"/>
  <c r="AV140" i="53" s="1"/>
  <c r="AA129" i="53"/>
  <c r="W129" i="53"/>
  <c r="W140" i="53" s="1"/>
  <c r="AT129" i="53"/>
  <c r="AT140" i="53" s="1"/>
  <c r="AJ129" i="53"/>
  <c r="AS129" i="53"/>
  <c r="AK129" i="53"/>
  <c r="K129" i="53"/>
  <c r="AL7" i="32"/>
  <c r="N140" i="53"/>
  <c r="V146" i="53"/>
  <c r="AE146" i="53"/>
  <c r="AB6" i="32"/>
  <c r="AB7" i="32" s="1"/>
  <c r="AV146" i="53"/>
  <c r="C99" i="53"/>
  <c r="C158" i="53" s="1"/>
  <c r="D26" i="39"/>
  <c r="E121" i="47"/>
  <c r="Y146" i="53"/>
  <c r="AI146" i="53"/>
  <c r="AG129" i="53"/>
  <c r="W6" i="32"/>
  <c r="W7" i="32" s="1"/>
  <c r="AE6" i="32"/>
  <c r="AE7" i="32" s="1"/>
  <c r="S6" i="32"/>
  <c r="S7" i="32" s="1"/>
  <c r="R6" i="32"/>
  <c r="R7" i="32" s="1"/>
  <c r="AU140" i="53"/>
  <c r="H49" i="32"/>
  <c r="AP129" i="53"/>
  <c r="AL129" i="53"/>
  <c r="AL140" i="53" s="1"/>
  <c r="AE129" i="53"/>
  <c r="AE140" i="53" s="1"/>
  <c r="T6" i="32"/>
  <c r="T7" i="32" s="1"/>
  <c r="L7" i="53"/>
  <c r="U6" i="32"/>
  <c r="U7" i="32" s="1"/>
  <c r="C97" i="53"/>
  <c r="C156" i="53" s="1"/>
  <c r="X146" i="53"/>
  <c r="X6" i="32"/>
  <c r="X7" i="32" s="1"/>
  <c r="AL146" i="53"/>
  <c r="I49" i="32"/>
  <c r="E115" i="47"/>
  <c r="Y6" i="32"/>
  <c r="Y7" i="32" s="1"/>
  <c r="P146" i="53"/>
  <c r="AP146" i="53"/>
  <c r="J146" i="53"/>
  <c r="S140" i="53"/>
  <c r="AM146" i="53"/>
  <c r="AO129" i="53"/>
  <c r="AC129" i="53"/>
  <c r="AC140" i="53" s="1"/>
  <c r="O140" i="53"/>
  <c r="E117" i="47"/>
  <c r="M21" i="32"/>
  <c r="M45" i="32" s="1"/>
  <c r="K3" i="29"/>
  <c r="AJ6" i="32"/>
  <c r="AJ7" i="32" s="1"/>
  <c r="AH146" i="53"/>
  <c r="M140" i="53"/>
  <c r="AK6" i="32"/>
  <c r="AK7" i="32" s="1"/>
  <c r="B52" i="53"/>
  <c r="J215" i="53" s="1"/>
  <c r="I52" i="53"/>
  <c r="C180" i="53"/>
  <c r="C192" i="53" s="1"/>
  <c r="C203" i="53" s="1"/>
  <c r="C214" i="53" s="1"/>
  <c r="C226" i="53" s="1"/>
  <c r="C239" i="53"/>
  <c r="AN129" i="53"/>
  <c r="AB129" i="53"/>
  <c r="AB140" i="53" s="1"/>
  <c r="P129" i="53"/>
  <c r="P140" i="53" s="1"/>
  <c r="G83" i="47"/>
  <c r="N143" i="53"/>
  <c r="X128" i="53"/>
  <c r="X139" i="53" s="1"/>
  <c r="N146" i="53"/>
  <c r="AK127" i="53"/>
  <c r="U135" i="53"/>
  <c r="U146" i="53" s="1"/>
  <c r="D254" i="53"/>
  <c r="E114" i="47" s="1"/>
  <c r="AH128" i="53"/>
  <c r="AH139" i="53" s="1"/>
  <c r="AL128" i="53"/>
  <c r="AL139" i="53" s="1"/>
  <c r="O146" i="53"/>
  <c r="AR128" i="53"/>
  <c r="AR139" i="53" s="1"/>
  <c r="AJ131" i="53"/>
  <c r="AJ142" i="53" s="1"/>
  <c r="E112" i="47"/>
  <c r="AQ146" i="53"/>
  <c r="J96"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25" i="35"/>
  <c r="E25" i="35"/>
  <c r="H25" i="35"/>
  <c r="F25" i="35"/>
  <c r="B25" i="35"/>
  <c r="I25" i="35"/>
  <c r="BB105" i="32"/>
  <c r="B22" i="35"/>
  <c r="I23" i="35"/>
  <c r="G24" i="35"/>
  <c r="E23" i="35"/>
  <c r="E119" i="47"/>
  <c r="E123" i="47"/>
  <c r="C177" i="53"/>
  <c r="C189" i="53" s="1"/>
  <c r="C200" i="53" s="1"/>
  <c r="C211" i="53" s="1"/>
  <c r="C223" i="53" s="1"/>
  <c r="C238" i="53"/>
  <c r="C179" i="53"/>
  <c r="C191" i="53" s="1"/>
  <c r="C202" i="53" s="1"/>
  <c r="C213" i="53" s="1"/>
  <c r="C225" i="53" s="1"/>
  <c r="C235" i="53"/>
  <c r="C176" i="53"/>
  <c r="C188" i="53" s="1"/>
  <c r="C199" i="53" s="1"/>
  <c r="C210" i="53" s="1"/>
  <c r="C222" i="53" s="1"/>
  <c r="G5" i="44"/>
  <c r="J45" i="53"/>
  <c r="J46" i="53"/>
  <c r="J44" i="53"/>
  <c r="J76" i="53"/>
  <c r="J77" i="53"/>
  <c r="E122" i="47"/>
  <c r="L3" i="53"/>
  <c r="L6" i="53"/>
  <c r="L22" i="53"/>
  <c r="L12" i="53" a="1"/>
  <c r="L12" i="53" s="1"/>
  <c r="L11" i="53" s="1"/>
  <c r="F49" i="32"/>
  <c r="J43" i="53"/>
  <c r="I48" i="32"/>
  <c r="J87" i="53"/>
  <c r="M4" i="53"/>
  <c r="M5" i="53" s="1"/>
  <c r="E126" i="47"/>
  <c r="E124" i="47"/>
  <c r="E120" i="47"/>
  <c r="E125" i="47"/>
  <c r="R141" i="53"/>
  <c r="V141" i="53"/>
  <c r="Z141" i="53"/>
  <c r="AM141" i="53"/>
  <c r="Q141" i="53"/>
  <c r="P141" i="53"/>
  <c r="AI141" i="53"/>
  <c r="AQ141" i="53"/>
  <c r="AK141" i="53"/>
  <c r="AS141" i="53"/>
  <c r="AB141" i="53"/>
  <c r="AO141" i="53"/>
  <c r="S141" i="53"/>
  <c r="M141" i="53"/>
  <c r="X141" i="53"/>
  <c r="AG141" i="53"/>
  <c r="K141" i="53"/>
  <c r="AN141" i="53"/>
  <c r="J141" i="53"/>
  <c r="AG143" i="53"/>
  <c r="G49" i="32"/>
  <c r="AP141" i="53"/>
  <c r="AU145" i="53"/>
  <c r="AT145" i="53"/>
  <c r="R143" i="53"/>
  <c r="Z143" i="53"/>
  <c r="N6" i="32"/>
  <c r="N7" i="32" s="1"/>
  <c r="P6" i="32"/>
  <c r="P7" i="32" s="1"/>
  <c r="O6" i="32"/>
  <c r="O7" i="32" s="1"/>
  <c r="L6" i="32"/>
  <c r="L7" i="32" s="1"/>
  <c r="K7" i="32"/>
  <c r="R127" i="53"/>
  <c r="Y127" i="53"/>
  <c r="Q127" i="53"/>
  <c r="U127" i="53"/>
  <c r="AC127" i="53"/>
  <c r="AN127" i="53"/>
  <c r="AQ127" i="53"/>
  <c r="S127" i="53"/>
  <c r="E138" i="53"/>
  <c r="W138" i="53" s="1"/>
  <c r="Z127" i="53"/>
  <c r="AF127" i="53"/>
  <c r="AF138" i="53" s="1"/>
  <c r="AJ127" i="53"/>
  <c r="AM138" i="53"/>
  <c r="AS127" i="53"/>
  <c r="E5" i="47"/>
  <c r="G5" i="47" s="1"/>
  <c r="AB138" i="53"/>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J193" i="53"/>
  <c r="J204" i="53"/>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3" i="32"/>
  <c r="BB126" i="32"/>
  <c r="G26" i="35"/>
  <c r="H77" i="53"/>
  <c r="I88" i="53"/>
  <c r="E10" i="53"/>
  <c r="D28" i="29"/>
  <c r="D5" i="29"/>
  <c r="D6" i="35"/>
  <c r="H87" i="53"/>
  <c r="H76" i="53"/>
  <c r="BB125" i="32"/>
  <c r="BB114" i="32"/>
  <c r="BB117" i="32"/>
  <c r="BB120" i="32"/>
  <c r="BB128" i="32"/>
  <c r="L53" i="52"/>
  <c r="BB119" i="32"/>
  <c r="E69" i="47"/>
  <c r="E68" i="47"/>
  <c r="BB108" i="32"/>
  <c r="E66" i="47"/>
  <c r="BB106" i="32"/>
  <c r="BB109" i="32"/>
  <c r="BB112" i="32"/>
  <c r="BB115" i="32"/>
  <c r="BB118" i="32"/>
  <c r="BB113" i="32"/>
  <c r="BB104" i="32"/>
  <c r="BB101" i="32"/>
  <c r="E70" i="47"/>
  <c r="BB103" i="32"/>
  <c r="BB116" i="32"/>
  <c r="BB124" i="32"/>
  <c r="BB99" i="32"/>
  <c r="BB110" i="32"/>
  <c r="E67" i="47"/>
  <c r="BB127" i="32"/>
  <c r="BB122" i="32"/>
  <c r="H53" i="52"/>
  <c r="E78" i="47"/>
  <c r="BB107" i="32"/>
  <c r="E64" i="47"/>
  <c r="E82" i="47"/>
  <c r="G22" i="35"/>
  <c r="BB102" i="32"/>
  <c r="E65" i="47"/>
  <c r="E63" i="47"/>
  <c r="E79" i="47"/>
  <c r="H22" i="35"/>
  <c r="E75" i="47"/>
  <c r="E71" i="47"/>
  <c r="E72" i="47"/>
  <c r="E62" i="47"/>
  <c r="E77" i="47"/>
  <c r="E74" i="47"/>
  <c r="E73" i="47"/>
  <c r="F22" i="35"/>
  <c r="E81" i="47"/>
  <c r="B23" i="35"/>
  <c r="G23" i="35"/>
  <c r="I22" i="35"/>
  <c r="BB121" i="32"/>
  <c r="H23" i="35"/>
  <c r="E76" i="47"/>
  <c r="F23" i="35"/>
  <c r="C22" i="35"/>
  <c r="B24" i="35"/>
  <c r="I24" i="35"/>
  <c r="C24" i="35"/>
  <c r="F24" i="35"/>
  <c r="E24" i="35"/>
  <c r="K33" i="29"/>
  <c r="G108" i="47"/>
  <c r="E9" i="47"/>
  <c r="E8" i="47"/>
  <c r="E7" i="47"/>
  <c r="E6" i="47"/>
  <c r="AD75" i="32" l="1"/>
  <c r="AC92" i="32"/>
  <c r="AC93" i="32"/>
  <c r="AQ138" i="53"/>
  <c r="AC138" i="53"/>
  <c r="Q138" i="53"/>
  <c r="AK138" i="53"/>
  <c r="AH138" i="53"/>
  <c r="O138" i="53"/>
  <c r="T138" i="53"/>
  <c r="K87" i="53"/>
  <c r="AL138" i="53"/>
  <c r="N53" i="52"/>
  <c r="AS138" i="53"/>
  <c r="AJ138" i="53"/>
  <c r="Z138" i="53"/>
  <c r="S138" i="53"/>
  <c r="AN138" i="53"/>
  <c r="U138" i="53"/>
  <c r="Y138" i="53"/>
  <c r="AE138" i="53"/>
  <c r="AD138" i="53"/>
  <c r="M138" i="53"/>
  <c r="AV138" i="53"/>
  <c r="D23" i="39"/>
  <c r="E30" i="44"/>
  <c r="C237" i="53"/>
  <c r="C178" i="53"/>
  <c r="C190" i="53" s="1"/>
  <c r="C201" i="53" s="1"/>
  <c r="C212" i="53" s="1"/>
  <c r="C224" i="53" s="1"/>
  <c r="U142" i="53"/>
  <c r="AO142" i="53"/>
  <c r="Q142" i="53"/>
  <c r="O142" i="53"/>
  <c r="AI142" i="53"/>
  <c r="E97" i="47"/>
  <c r="L45" i="32"/>
  <c r="E21" i="57"/>
  <c r="E68" i="32"/>
  <c r="J68" i="32" s="1"/>
  <c r="E64" i="32"/>
  <c r="J64" i="32" s="1"/>
  <c r="E66" i="32"/>
  <c r="J66" i="32" s="1"/>
  <c r="E65" i="32"/>
  <c r="J65" i="32" s="1"/>
  <c r="E67" i="32"/>
  <c r="J67" i="32" s="1"/>
  <c r="E69" i="32"/>
  <c r="J69" i="32" s="1"/>
  <c r="E63" i="32"/>
  <c r="J63" i="32" s="1"/>
  <c r="F21" i="57"/>
  <c r="K45" i="32"/>
  <c r="G28" i="44"/>
  <c r="G34" i="44"/>
  <c r="G35" i="44" s="1"/>
  <c r="G29" i="44"/>
  <c r="G27" i="44"/>
  <c r="G8" i="44"/>
  <c r="G10" i="44"/>
  <c r="G12" i="44"/>
  <c r="G14" i="44"/>
  <c r="G16" i="44"/>
  <c r="G18" i="44"/>
  <c r="G20" i="44"/>
  <c r="G22" i="44"/>
  <c r="G24" i="44"/>
  <c r="G7" i="44"/>
  <c r="G9" i="44"/>
  <c r="G11" i="44"/>
  <c r="G13" i="44"/>
  <c r="G15" i="44"/>
  <c r="G17" i="44"/>
  <c r="G19" i="44"/>
  <c r="G21" i="44"/>
  <c r="G23" i="44"/>
  <c r="D25" i="44"/>
  <c r="D26" i="44" s="1"/>
  <c r="E25" i="44"/>
  <c r="F25" i="44"/>
  <c r="N9" i="55"/>
  <c r="D30" i="44"/>
  <c r="E35" i="44"/>
  <c r="F35" i="44"/>
  <c r="E89" i="47"/>
  <c r="F53" i="52"/>
  <c r="E98" i="47"/>
  <c r="E92" i="47"/>
  <c r="G11" i="55"/>
  <c r="J143" i="56"/>
  <c r="K182" i="56" s="1"/>
  <c r="J132" i="56"/>
  <c r="L111" i="56"/>
  <c r="B54" i="56"/>
  <c r="B31" i="56"/>
  <c r="J133" i="56"/>
  <c r="L112" i="56"/>
  <c r="J144" i="56"/>
  <c r="K183" i="56" s="1"/>
  <c r="L123" i="56"/>
  <c r="E99" i="47"/>
  <c r="B35" i="56"/>
  <c r="B58" i="56"/>
  <c r="E94" i="47"/>
  <c r="J141" i="56"/>
  <c r="L120" i="56"/>
  <c r="J138" i="56"/>
  <c r="L117" i="56"/>
  <c r="E96" i="47"/>
  <c r="B36" i="56"/>
  <c r="B59" i="56"/>
  <c r="J142" i="56"/>
  <c r="K181" i="56" s="1"/>
  <c r="J139" i="56"/>
  <c r="L118" i="56"/>
  <c r="B32" i="56"/>
  <c r="B55" i="56"/>
  <c r="J140" i="56"/>
  <c r="L119" i="56"/>
  <c r="B52" i="56"/>
  <c r="B29" i="56"/>
  <c r="B56" i="56"/>
  <c r="B33" i="56"/>
  <c r="B51" i="56"/>
  <c r="B28" i="56"/>
  <c r="J134" i="56"/>
  <c r="L113" i="56"/>
  <c r="J136" i="56"/>
  <c r="L115" i="56"/>
  <c r="E95" i="47"/>
  <c r="B57" i="56"/>
  <c r="B34" i="56"/>
  <c r="J135" i="56"/>
  <c r="L114" i="56"/>
  <c r="E88" i="47"/>
  <c r="E90" i="47"/>
  <c r="E91" i="47"/>
  <c r="B53" i="56"/>
  <c r="B30" i="56"/>
  <c r="J137" i="56"/>
  <c r="L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L8" i="53"/>
  <c r="L87" i="53" s="1"/>
  <c r="K53" i="52"/>
  <c r="AO140" i="53"/>
  <c r="AP140" i="53"/>
  <c r="AG140" i="53"/>
  <c r="K140" i="53"/>
  <c r="V140" i="53"/>
  <c r="J29" i="32"/>
  <c r="K29" i="32" s="1"/>
  <c r="L29" i="32" s="1"/>
  <c r="M29" i="32" s="1"/>
  <c r="J30" i="32"/>
  <c r="AP138" i="53"/>
  <c r="K77" i="53"/>
  <c r="AK140" i="53"/>
  <c r="AF140" i="53"/>
  <c r="AL30" i="32"/>
  <c r="AL29" i="32"/>
  <c r="AN29" i="32"/>
  <c r="AO29" i="32" s="1"/>
  <c r="AP29" i="32" s="1"/>
  <c r="AN30" i="32"/>
  <c r="AO30" i="32" s="1"/>
  <c r="AP30" i="32" s="1"/>
  <c r="AO138" i="53"/>
  <c r="K76" i="53"/>
  <c r="AS140" i="53"/>
  <c r="AQ140" i="53"/>
  <c r="AJ140" i="53"/>
  <c r="AH140" i="53"/>
  <c r="P97" i="32"/>
  <c r="Q97" i="32" s="1"/>
  <c r="G85" i="47"/>
  <c r="AB29" i="32"/>
  <c r="AC29" i="32" s="1"/>
  <c r="AD29" i="32" s="1"/>
  <c r="AE29" i="32" s="1"/>
  <c r="AF29" i="32" s="1"/>
  <c r="AB30" i="32"/>
  <c r="AC30" i="32" s="1"/>
  <c r="AD30" i="32" s="1"/>
  <c r="AI140" i="53"/>
  <c r="X140" i="53"/>
  <c r="AM140" i="53"/>
  <c r="Q140" i="53"/>
  <c r="AN140" i="53"/>
  <c r="R29" i="32"/>
  <c r="S29" i="32" s="1"/>
  <c r="T29" i="32" s="1"/>
  <c r="U29" i="32" s="1"/>
  <c r="V29" i="32" s="1"/>
  <c r="R30" i="32"/>
  <c r="S30" i="32" s="1"/>
  <c r="T30" i="32" s="1"/>
  <c r="U30" i="32" s="1"/>
  <c r="AA140" i="53"/>
  <c r="T140" i="53"/>
  <c r="K30" i="32"/>
  <c r="L30" i="32" s="1"/>
  <c r="M30" i="32" s="1"/>
  <c r="N30" i="32" s="1"/>
  <c r="AR140" i="53"/>
  <c r="G53" i="52"/>
  <c r="Y140" i="53"/>
  <c r="J48" i="29"/>
  <c r="G84" i="47" s="1"/>
  <c r="M33" i="29"/>
  <c r="N33" i="29" s="1"/>
  <c r="L33" i="29"/>
  <c r="R47" i="29" s="1"/>
  <c r="J192" i="53"/>
  <c r="J214" i="53"/>
  <c r="J203" i="53"/>
  <c r="H5" i="44"/>
  <c r="P73" i="32"/>
  <c r="P80" i="32" s="1"/>
  <c r="AI138" i="53"/>
  <c r="J138" i="53"/>
  <c r="AT138" i="53"/>
  <c r="L138" i="53"/>
  <c r="AG138" i="53"/>
  <c r="AA138" i="53"/>
  <c r="N138" i="53"/>
  <c r="R138" i="53"/>
  <c r="V138" i="53"/>
  <c r="X138" i="53"/>
  <c r="K138" i="53"/>
  <c r="N21" i="32"/>
  <c r="S53" i="52"/>
  <c r="AU138" i="53"/>
  <c r="N4" i="53"/>
  <c r="N5" i="53" s="1"/>
  <c r="M12" i="53" a="1"/>
  <c r="M12" i="53" s="1"/>
  <c r="M11" i="53" s="1"/>
  <c r="M22" i="53"/>
  <c r="M3" i="53"/>
  <c r="M6" i="53"/>
  <c r="M67" i="53"/>
  <c r="M104" i="53" s="1"/>
  <c r="M7" i="53"/>
  <c r="L88" i="53"/>
  <c r="O53" i="52"/>
  <c r="P138" i="53"/>
  <c r="J227" i="53"/>
  <c r="J265" i="53" s="1"/>
  <c r="G125" i="47" s="1"/>
  <c r="I77" i="53"/>
  <c r="I87" i="53"/>
  <c r="I76" i="53"/>
  <c r="K47" i="29"/>
  <c r="M47" i="29"/>
  <c r="AE30" i="32"/>
  <c r="G6" i="47"/>
  <c r="G8" i="47"/>
  <c r="G9" i="47"/>
  <c r="G7" i="47"/>
  <c r="AE75" i="32" l="1"/>
  <c r="AD93" i="32"/>
  <c r="AD92" i="32"/>
  <c r="N45" i="32"/>
  <c r="AM30" i="32"/>
  <c r="F26" i="44"/>
  <c r="G30" i="44"/>
  <c r="O9" i="55"/>
  <c r="E26" i="44"/>
  <c r="G25" i="44"/>
  <c r="G26" i="44" s="1"/>
  <c r="H28" i="44"/>
  <c r="H34" i="44"/>
  <c r="H35" i="44" s="1"/>
  <c r="H29" i="44"/>
  <c r="H30" i="44" s="1"/>
  <c r="H27" i="44"/>
  <c r="H24" i="44"/>
  <c r="H8" i="44"/>
  <c r="H10" i="44"/>
  <c r="H12" i="44"/>
  <c r="H14" i="44"/>
  <c r="H16" i="44"/>
  <c r="H18" i="44"/>
  <c r="H20" i="44"/>
  <c r="H22" i="44"/>
  <c r="H7" i="44"/>
  <c r="H9" i="44"/>
  <c r="H11" i="44"/>
  <c r="H13" i="44"/>
  <c r="H15" i="44"/>
  <c r="H17" i="44"/>
  <c r="H19" i="44"/>
  <c r="H21" i="44"/>
  <c r="H23" i="44"/>
  <c r="G11" i="57"/>
  <c r="H3" i="56"/>
  <c r="K92" i="47"/>
  <c r="J92" i="47"/>
  <c r="J89" i="47"/>
  <c r="K89" i="47"/>
  <c r="J88" i="47"/>
  <c r="K88" i="47"/>
  <c r="K135" i="56"/>
  <c r="G90" i="47" s="1"/>
  <c r="M114" i="56"/>
  <c r="L135" i="56" s="1"/>
  <c r="H90" i="47" s="1"/>
  <c r="K133" i="56"/>
  <c r="G88" i="47" s="1"/>
  <c r="M112" i="56"/>
  <c r="L133" i="56" s="1"/>
  <c r="H88" i="47" s="1"/>
  <c r="K87" i="47"/>
  <c r="J87" i="47"/>
  <c r="I87" i="47"/>
  <c r="K140" i="56"/>
  <c r="G95" i="47" s="1"/>
  <c r="M119" i="56"/>
  <c r="L140" i="56" s="1"/>
  <c r="H95" i="47" s="1"/>
  <c r="K138" i="56"/>
  <c r="G93" i="47" s="1"/>
  <c r="M117" i="56"/>
  <c r="L138" i="56" s="1"/>
  <c r="H93" i="47" s="1"/>
  <c r="J93" i="47"/>
  <c r="K93" i="47"/>
  <c r="J95" i="47"/>
  <c r="I95" i="47"/>
  <c r="K95" i="47"/>
  <c r="K141" i="56"/>
  <c r="G96" i="47" s="1"/>
  <c r="M120" i="56"/>
  <c r="L141" i="56" s="1"/>
  <c r="H96" i="47" s="1"/>
  <c r="K132" i="56"/>
  <c r="G87" i="47" s="1"/>
  <c r="M111" i="56"/>
  <c r="L132" i="56" s="1"/>
  <c r="H87" i="47" s="1"/>
  <c r="K137" i="56"/>
  <c r="G92" i="47" s="1"/>
  <c r="M116" i="56"/>
  <c r="L137" i="56" s="1"/>
  <c r="I92" i="47" s="1"/>
  <c r="K136" i="56"/>
  <c r="G91" i="47" s="1"/>
  <c r="M115" i="56"/>
  <c r="L136" i="56" s="1"/>
  <c r="H91" i="47" s="1"/>
  <c r="I94" i="47"/>
  <c r="J94" i="47"/>
  <c r="K94" i="47"/>
  <c r="K134" i="56"/>
  <c r="G89" i="47" s="1"/>
  <c r="M113" i="56"/>
  <c r="L134" i="56" s="1"/>
  <c r="H89" i="47" s="1"/>
  <c r="K139" i="56"/>
  <c r="G94" i="47" s="1"/>
  <c r="M118" i="56"/>
  <c r="L139" i="56" s="1"/>
  <c r="H94" i="47" s="1"/>
  <c r="J91" i="47"/>
  <c r="K91" i="47"/>
  <c r="J99" i="47"/>
  <c r="K99" i="47"/>
  <c r="J96" i="47"/>
  <c r="K96" i="47"/>
  <c r="J90" i="47"/>
  <c r="K90" i="47"/>
  <c r="I90" i="47"/>
  <c r="K144" i="56"/>
  <c r="L183" i="56" s="1"/>
  <c r="M123" i="56"/>
  <c r="L144" i="56" s="1"/>
  <c r="M183" i="56" s="1"/>
  <c r="L76" i="53"/>
  <c r="L77" i="53"/>
  <c r="L3" i="29"/>
  <c r="AM29" i="32"/>
  <c r="J226" i="53"/>
  <c r="J264" i="53" s="1"/>
  <c r="G119" i="47" s="1"/>
  <c r="R97" i="32"/>
  <c r="Q73" i="32"/>
  <c r="Q80" i="32" s="1"/>
  <c r="N7" i="53"/>
  <c r="N22" i="53"/>
  <c r="N12" i="53" a="1"/>
  <c r="N12" i="53" s="1"/>
  <c r="N11" i="53" s="1"/>
  <c r="N67" i="53"/>
  <c r="N104" i="53" s="1"/>
  <c r="O4" i="53"/>
  <c r="O5" i="53" s="1"/>
  <c r="N3" i="53"/>
  <c r="N6" i="53"/>
  <c r="I5" i="44"/>
  <c r="O21" i="32"/>
  <c r="O45" i="32" s="1"/>
  <c r="M11" i="55"/>
  <c r="M91" i="55" s="1"/>
  <c r="F7" i="56"/>
  <c r="E47" i="57" s="1"/>
  <c r="J13" i="55"/>
  <c r="J133" i="55" s="1"/>
  <c r="J14" i="55"/>
  <c r="J154" i="55" s="1"/>
  <c r="C33" i="44"/>
  <c r="N47" i="29"/>
  <c r="K83" i="47" s="1"/>
  <c r="H83" i="47"/>
  <c r="L47" i="29"/>
  <c r="I83" i="47" s="1"/>
  <c r="AF30" i="32"/>
  <c r="V30" i="32"/>
  <c r="O30" i="32"/>
  <c r="AG29" i="32"/>
  <c r="N29" i="32"/>
  <c r="W29" i="32"/>
  <c r="AB47" i="29"/>
  <c r="O33" i="29"/>
  <c r="S47" i="29"/>
  <c r="P83" i="47" s="1"/>
  <c r="AF75" i="32" l="1"/>
  <c r="AE92" i="32"/>
  <c r="AE93" i="32"/>
  <c r="J83" i="47"/>
  <c r="I99" i="47"/>
  <c r="I91" i="47"/>
  <c r="I96" i="47"/>
  <c r="I93" i="47"/>
  <c r="I89" i="47"/>
  <c r="I88" i="47"/>
  <c r="H92" i="47"/>
  <c r="H25" i="44"/>
  <c r="H26" i="44" s="1"/>
  <c r="I28" i="44"/>
  <c r="I34" i="44"/>
  <c r="I35" i="44" s="1"/>
  <c r="I29" i="44"/>
  <c r="I27" i="44"/>
  <c r="I8" i="44"/>
  <c r="I10" i="44"/>
  <c r="I12" i="44"/>
  <c r="I14" i="44"/>
  <c r="I16" i="44"/>
  <c r="I18" i="44"/>
  <c r="I20" i="44"/>
  <c r="I22" i="44"/>
  <c r="I24" i="44"/>
  <c r="I7" i="44"/>
  <c r="I9" i="44"/>
  <c r="I11" i="44"/>
  <c r="I13" i="44"/>
  <c r="I15" i="44"/>
  <c r="I17" i="44"/>
  <c r="I19" i="44"/>
  <c r="I21" i="44"/>
  <c r="I23" i="44"/>
  <c r="P9" i="55"/>
  <c r="M13" i="55"/>
  <c r="M133" i="55" s="1"/>
  <c r="M14" i="55"/>
  <c r="M154" i="55" s="1"/>
  <c r="J5" i="29"/>
  <c r="J24" i="32"/>
  <c r="E15" i="57"/>
  <c r="M19" i="55"/>
  <c r="M192" i="55" s="1"/>
  <c r="J19" i="55"/>
  <c r="J192" i="55" s="1"/>
  <c r="M22" i="55"/>
  <c r="M230" i="55" s="1"/>
  <c r="J22" i="55"/>
  <c r="J230" i="55" s="1"/>
  <c r="G7" i="56"/>
  <c r="G43" i="56" s="1"/>
  <c r="J11" i="55"/>
  <c r="J91" i="55" s="1"/>
  <c r="M20" i="55"/>
  <c r="M21" i="55"/>
  <c r="J21" i="55"/>
  <c r="J20" i="55"/>
  <c r="F9" i="56"/>
  <c r="J12" i="55"/>
  <c r="J112" i="55" s="1"/>
  <c r="G48" i="56"/>
  <c r="J15" i="55"/>
  <c r="J18" i="55"/>
  <c r="J17" i="55"/>
  <c r="J16" i="55"/>
  <c r="M12" i="55"/>
  <c r="M112" i="55" s="1"/>
  <c r="G9" i="56"/>
  <c r="N9" i="56" s="1"/>
  <c r="T9" i="56" s="1"/>
  <c r="F8" i="56"/>
  <c r="J10" i="55"/>
  <c r="J70" i="55" s="1"/>
  <c r="M18" i="55"/>
  <c r="M15" i="55"/>
  <c r="M16" i="55"/>
  <c r="M17" i="55"/>
  <c r="G8" i="56"/>
  <c r="N8" i="56" s="1"/>
  <c r="T8" i="56" s="1"/>
  <c r="M10" i="55"/>
  <c r="M70" i="55" s="1"/>
  <c r="G99" i="47"/>
  <c r="H99" i="47"/>
  <c r="G19" i="47"/>
  <c r="K19" i="47"/>
  <c r="J19" i="47"/>
  <c r="L19" i="47"/>
  <c r="O47" i="29"/>
  <c r="P47" i="29" s="1"/>
  <c r="R73" i="32"/>
  <c r="R80" i="32" s="1"/>
  <c r="S97" i="32"/>
  <c r="M88" i="53"/>
  <c r="M76" i="53"/>
  <c r="M87" i="53"/>
  <c r="M77" i="53"/>
  <c r="N77" i="53" s="1"/>
  <c r="J5" i="44"/>
  <c r="P21" i="32"/>
  <c r="P45" i="32" s="1"/>
  <c r="O12" i="53" a="1"/>
  <c r="O12" i="53" s="1"/>
  <c r="O11" i="53" s="1"/>
  <c r="O6" i="53"/>
  <c r="O67" i="53"/>
  <c r="O104" i="53" s="1"/>
  <c r="O7" i="53"/>
  <c r="O3" i="53"/>
  <c r="P4" i="53"/>
  <c r="P5" i="53" s="1"/>
  <c r="O22" i="53"/>
  <c r="J28" i="29"/>
  <c r="F31" i="44"/>
  <c r="F13" i="57" s="1"/>
  <c r="F33" i="44"/>
  <c r="F15" i="57" s="1"/>
  <c r="M10" i="53"/>
  <c r="K6" i="35"/>
  <c r="J10" i="53"/>
  <c r="F32" i="44"/>
  <c r="F14" i="57" s="1"/>
  <c r="N6" i="35"/>
  <c r="C32" i="44"/>
  <c r="E14" i="57" s="1"/>
  <c r="C31" i="44"/>
  <c r="E13" i="57" s="1"/>
  <c r="K13" i="55"/>
  <c r="K19" i="55"/>
  <c r="K28" i="29"/>
  <c r="K5" i="29"/>
  <c r="K18" i="29" s="1"/>
  <c r="N10" i="53"/>
  <c r="D33" i="44"/>
  <c r="K24" i="32" s="1"/>
  <c r="K36" i="32" s="1"/>
  <c r="N12" i="55"/>
  <c r="N112" i="55" s="1"/>
  <c r="T47" i="29"/>
  <c r="Q83" i="47" s="1"/>
  <c r="P30" i="32"/>
  <c r="AG30" i="32"/>
  <c r="W30" i="32"/>
  <c r="O29" i="32"/>
  <c r="X29" i="32"/>
  <c r="AH29" i="32"/>
  <c r="P33" i="29"/>
  <c r="AL47" i="29"/>
  <c r="AC47" i="29"/>
  <c r="Z83" i="47" s="1"/>
  <c r="AG75" i="32" l="1"/>
  <c r="AF93" i="32"/>
  <c r="AF92" i="32"/>
  <c r="E24" i="32"/>
  <c r="J36" i="32"/>
  <c r="G60" i="56"/>
  <c r="G51" i="56" s="1"/>
  <c r="I30" i="44"/>
  <c r="I25" i="44"/>
  <c r="I26" i="44" s="1"/>
  <c r="J28" i="44"/>
  <c r="J34" i="44"/>
  <c r="J35" i="44" s="1"/>
  <c r="J29" i="44"/>
  <c r="J30" i="44" s="1"/>
  <c r="J27" i="44"/>
  <c r="J8" i="44"/>
  <c r="J10" i="44"/>
  <c r="J12" i="44"/>
  <c r="J14" i="44"/>
  <c r="J16" i="44"/>
  <c r="J18" i="44"/>
  <c r="J20" i="44"/>
  <c r="J22" i="44"/>
  <c r="J24" i="44"/>
  <c r="J7" i="44"/>
  <c r="J9" i="44"/>
  <c r="J11" i="44"/>
  <c r="J13" i="44"/>
  <c r="J15" i="44"/>
  <c r="J17" i="44"/>
  <c r="J19" i="44"/>
  <c r="J21" i="44"/>
  <c r="J23" i="44"/>
  <c r="M173" i="55"/>
  <c r="M211" i="55"/>
  <c r="E81" i="57"/>
  <c r="E108" i="57"/>
  <c r="E55" i="57"/>
  <c r="E97" i="57"/>
  <c r="S14" i="57"/>
  <c r="M14" i="57"/>
  <c r="K12" i="55"/>
  <c r="K112" i="55" s="1"/>
  <c r="K119" i="55" s="1"/>
  <c r="S15" i="57"/>
  <c r="E56" i="57"/>
  <c r="E109" i="57"/>
  <c r="E101" i="57"/>
  <c r="E86" i="57"/>
  <c r="M15" i="57"/>
  <c r="N7" i="56"/>
  <c r="E93" i="57"/>
  <c r="E16" i="57"/>
  <c r="E54" i="57"/>
  <c r="M13" i="57"/>
  <c r="S13" i="57"/>
  <c r="E107" i="57"/>
  <c r="E75" i="57"/>
  <c r="N14" i="55"/>
  <c r="N154" i="55" s="1"/>
  <c r="K22" i="55"/>
  <c r="K38" i="55" s="1"/>
  <c r="F47" i="57"/>
  <c r="F49" i="57" s="1"/>
  <c r="S49" i="57" s="1"/>
  <c r="N19" i="55"/>
  <c r="N192" i="55" s="1"/>
  <c r="N13" i="55"/>
  <c r="N133" i="55" s="1"/>
  <c r="N15" i="55"/>
  <c r="N16" i="55"/>
  <c r="N18" i="55"/>
  <c r="N17" i="55"/>
  <c r="K18" i="55"/>
  <c r="K17" i="55"/>
  <c r="K16" i="55"/>
  <c r="K15" i="55"/>
  <c r="J173" i="55"/>
  <c r="J211" i="55"/>
  <c r="K35" i="55"/>
  <c r="K192" i="55"/>
  <c r="K21" i="55"/>
  <c r="K20" i="55"/>
  <c r="K29" i="55"/>
  <c r="K133" i="55"/>
  <c r="G59" i="56"/>
  <c r="G53" i="56"/>
  <c r="G52" i="56"/>
  <c r="N60" i="56"/>
  <c r="T60" i="56"/>
  <c r="F86" i="57"/>
  <c r="F109" i="57"/>
  <c r="F101" i="57"/>
  <c r="K14" i="55"/>
  <c r="T48" i="56"/>
  <c r="N48" i="56"/>
  <c r="G46" i="56"/>
  <c r="G47" i="56"/>
  <c r="K10" i="55"/>
  <c r="K11" i="55"/>
  <c r="K91" i="55" s="1"/>
  <c r="F107" i="57"/>
  <c r="F93" i="57"/>
  <c r="F75" i="57"/>
  <c r="F16" i="57"/>
  <c r="T7" i="56"/>
  <c r="M47" i="57" s="1"/>
  <c r="F108" i="57"/>
  <c r="F81" i="57"/>
  <c r="F97" i="57"/>
  <c r="N22" i="55"/>
  <c r="N230" i="55" s="1"/>
  <c r="N171" i="56"/>
  <c r="N43" i="56"/>
  <c r="G76" i="56"/>
  <c r="T43" i="56"/>
  <c r="L171" i="56"/>
  <c r="M171" i="56" s="1"/>
  <c r="N21" i="55"/>
  <c r="N20" i="55"/>
  <c r="N10" i="55"/>
  <c r="N70" i="55" s="1"/>
  <c r="N11" i="55"/>
  <c r="N91" i="55" s="1"/>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N87" i="53"/>
  <c r="Q21" i="32"/>
  <c r="Q45" i="32" s="1"/>
  <c r="N76" i="53"/>
  <c r="O76" i="53" s="1"/>
  <c r="P12" i="53" a="1"/>
  <c r="P12" i="53" s="1"/>
  <c r="P11" i="53" s="1"/>
  <c r="P22" i="53"/>
  <c r="P25" i="53" s="1"/>
  <c r="P7" i="53"/>
  <c r="P6" i="53"/>
  <c r="Q4" i="53"/>
  <c r="P67" i="53"/>
  <c r="P104" i="53" s="1"/>
  <c r="P3" i="53"/>
  <c r="N88" i="53"/>
  <c r="O88" i="53" s="1"/>
  <c r="O77" i="53"/>
  <c r="T97" i="32"/>
  <c r="S73" i="32"/>
  <c r="S80" i="32" s="1"/>
  <c r="K5" i="44"/>
  <c r="L19" i="55"/>
  <c r="L192" i="55" s="1"/>
  <c r="G32" i="44"/>
  <c r="N23" i="32" s="1"/>
  <c r="N35" i="32" s="1"/>
  <c r="E33" i="44"/>
  <c r="L24" i="32" s="1"/>
  <c r="L36" i="32" s="1"/>
  <c r="D32" i="44"/>
  <c r="K23" i="32" s="1"/>
  <c r="K35" i="32" s="1"/>
  <c r="D31" i="44"/>
  <c r="K22" i="32" s="1"/>
  <c r="K34" i="32" s="1"/>
  <c r="K10" i="53"/>
  <c r="L22" i="55"/>
  <c r="L230" i="55" s="1"/>
  <c r="J22" i="32"/>
  <c r="J34" i="32" s="1"/>
  <c r="M6" i="35"/>
  <c r="L6" i="35"/>
  <c r="J23" i="32"/>
  <c r="J35" i="32" s="1"/>
  <c r="L28" i="29"/>
  <c r="O19" i="55"/>
  <c r="O192" i="55" s="1"/>
  <c r="M24" i="32"/>
  <c r="M36" i="32" s="1"/>
  <c r="M22" i="32"/>
  <c r="M34" i="32" s="1"/>
  <c r="H7" i="56"/>
  <c r="H43" i="56" s="1"/>
  <c r="O10" i="53"/>
  <c r="O6" i="35"/>
  <c r="O13" i="55"/>
  <c r="O133" i="55" s="1"/>
  <c r="G33" i="44"/>
  <c r="N24" i="32" s="1"/>
  <c r="N36" i="32" s="1"/>
  <c r="G31" i="44"/>
  <c r="N22" i="32" s="1"/>
  <c r="N34" i="32" s="1"/>
  <c r="M23" i="32"/>
  <c r="M35" i="32" s="1"/>
  <c r="U47" i="29"/>
  <c r="V47" i="29" s="1"/>
  <c r="AH30" i="32"/>
  <c r="Q30" i="32"/>
  <c r="X30" i="32"/>
  <c r="AI29" i="32"/>
  <c r="Y29" i="32"/>
  <c r="P29" i="32"/>
  <c r="AD47" i="29"/>
  <c r="AA83" i="47" s="1"/>
  <c r="M83" i="47"/>
  <c r="Q47" i="29"/>
  <c r="AH75" i="32" l="1"/>
  <c r="AG92" i="32"/>
  <c r="AG93" i="32"/>
  <c r="E36" i="32"/>
  <c r="G56" i="56"/>
  <c r="G58" i="56"/>
  <c r="L180" i="56" s="1"/>
  <c r="M180" i="56" s="1"/>
  <c r="G54" i="56"/>
  <c r="G57" i="56"/>
  <c r="N179" i="56" s="1"/>
  <c r="G55" i="56"/>
  <c r="N83" i="47"/>
  <c r="O83" i="47"/>
  <c r="F50" i="57"/>
  <c r="F51" i="57" s="1"/>
  <c r="M49" i="57"/>
  <c r="M50" i="57" s="1"/>
  <c r="E123" i="57"/>
  <c r="M3" i="29"/>
  <c r="K29" i="44"/>
  <c r="K28" i="44"/>
  <c r="K34" i="44"/>
  <c r="K35" i="44" s="1"/>
  <c r="K27" i="44"/>
  <c r="K7" i="44"/>
  <c r="S6" i="35" s="1"/>
  <c r="K9" i="44"/>
  <c r="K11" i="44"/>
  <c r="K13" i="44"/>
  <c r="K15" i="44"/>
  <c r="K17" i="44"/>
  <c r="K19" i="44"/>
  <c r="K21" i="44"/>
  <c r="K23" i="44"/>
  <c r="K8" i="44"/>
  <c r="K10" i="44"/>
  <c r="K12" i="44"/>
  <c r="K14" i="44"/>
  <c r="K16" i="44"/>
  <c r="K18" i="44"/>
  <c r="K20" i="44"/>
  <c r="K22" i="44"/>
  <c r="K24" i="44"/>
  <c r="J25" i="44"/>
  <c r="J26" i="44" s="1"/>
  <c r="E120" i="57"/>
  <c r="K132" i="55"/>
  <c r="K121" i="55"/>
  <c r="K173" i="55"/>
  <c r="K188" i="55" s="1"/>
  <c r="N173" i="55"/>
  <c r="N211" i="55"/>
  <c r="S47" i="57"/>
  <c r="K211" i="55"/>
  <c r="K216" i="55" s="1"/>
  <c r="O11" i="55"/>
  <c r="O91" i="55" s="1"/>
  <c r="O10" i="55"/>
  <c r="O70" i="55" s="1"/>
  <c r="O22" i="55"/>
  <c r="O230" i="55" s="1"/>
  <c r="K125" i="55"/>
  <c r="K120" i="55"/>
  <c r="K126" i="55"/>
  <c r="K230" i="55"/>
  <c r="K233" i="55" s="1"/>
  <c r="L233" i="55" s="1"/>
  <c r="K123" i="55"/>
  <c r="K130" i="55"/>
  <c r="K129" i="55"/>
  <c r="K115" i="55"/>
  <c r="K114" i="55"/>
  <c r="K122" i="55"/>
  <c r="K117" i="55"/>
  <c r="K116" i="55"/>
  <c r="K127" i="55"/>
  <c r="K128" i="55"/>
  <c r="K124" i="55"/>
  <c r="K113" i="55"/>
  <c r="K131" i="55"/>
  <c r="S54" i="57"/>
  <c r="S93" i="57"/>
  <c r="S16" i="57"/>
  <c r="S107" i="57"/>
  <c r="S75" i="57"/>
  <c r="H8" i="56"/>
  <c r="M107" i="57"/>
  <c r="M75" i="57"/>
  <c r="M54" i="57"/>
  <c r="F54" i="57" s="1"/>
  <c r="M93" i="57"/>
  <c r="M16" i="57"/>
  <c r="E58" i="57"/>
  <c r="E61" i="57" s="1"/>
  <c r="E163" i="57"/>
  <c r="E162" i="57"/>
  <c r="J229" i="57" s="1"/>
  <c r="E161" i="57"/>
  <c r="E45" i="57"/>
  <c r="E117" i="57"/>
  <c r="E116" i="57"/>
  <c r="E115" i="57"/>
  <c r="M55" i="57"/>
  <c r="F55" i="57" s="1"/>
  <c r="M108" i="57"/>
  <c r="M97" i="57"/>
  <c r="M81" i="57"/>
  <c r="E111" i="57"/>
  <c r="S108" i="57"/>
  <c r="S97" i="57"/>
  <c r="S55" i="57"/>
  <c r="S81" i="57"/>
  <c r="L12" i="55"/>
  <c r="L112" i="55" s="1"/>
  <c r="L14" i="55"/>
  <c r="L154" i="55" s="1"/>
  <c r="O14" i="55"/>
  <c r="O154" i="55" s="1"/>
  <c r="S56" i="57"/>
  <c r="S101" i="57"/>
  <c r="S86" i="57"/>
  <c r="S109" i="57"/>
  <c r="M56" i="57"/>
  <c r="F56" i="57" s="1"/>
  <c r="M101" i="57"/>
  <c r="M109" i="57"/>
  <c r="M86" i="57"/>
  <c r="K118" i="55"/>
  <c r="E124" i="57"/>
  <c r="E125" i="57"/>
  <c r="E121" i="57"/>
  <c r="E119" i="57"/>
  <c r="L13" i="55"/>
  <c r="L133" i="55" s="1"/>
  <c r="L5" i="29"/>
  <c r="L18" i="29" s="1"/>
  <c r="L24" i="29" s="1"/>
  <c r="H76" i="56"/>
  <c r="O171" i="56"/>
  <c r="P171" i="56" s="1"/>
  <c r="T92" i="56"/>
  <c r="T76" i="56"/>
  <c r="F117" i="57"/>
  <c r="F115" i="57"/>
  <c r="F116" i="57"/>
  <c r="G81" i="56"/>
  <c r="N176" i="56"/>
  <c r="L176" i="56"/>
  <c r="M176" i="56" s="1"/>
  <c r="L174" i="56"/>
  <c r="M174" i="56" s="1"/>
  <c r="G79" i="56"/>
  <c r="N174" i="56"/>
  <c r="O20" i="55"/>
  <c r="O21" i="55"/>
  <c r="H9" i="56"/>
  <c r="O12" i="55"/>
  <c r="O112" i="55" s="1"/>
  <c r="N92" i="56"/>
  <c r="N76" i="56"/>
  <c r="G84" i="56"/>
  <c r="L179" i="56"/>
  <c r="M179" i="56" s="1"/>
  <c r="L38" i="55"/>
  <c r="M38" i="55" s="1"/>
  <c r="N38" i="55" s="1"/>
  <c r="F110" i="57"/>
  <c r="F111" i="57" s="1"/>
  <c r="K96" i="55"/>
  <c r="K108" i="55"/>
  <c r="K106" i="55"/>
  <c r="K109" i="55"/>
  <c r="K105" i="55"/>
  <c r="K97" i="55"/>
  <c r="K102" i="55"/>
  <c r="K110" i="55"/>
  <c r="K111" i="55"/>
  <c r="K107" i="55"/>
  <c r="K99" i="55"/>
  <c r="K98" i="55"/>
  <c r="K93" i="55"/>
  <c r="K100" i="55"/>
  <c r="K101" i="55"/>
  <c r="K104" i="55"/>
  <c r="K94" i="55"/>
  <c r="K92" i="55"/>
  <c r="K103" i="55"/>
  <c r="K95" i="55"/>
  <c r="F125" i="57"/>
  <c r="F123" i="57"/>
  <c r="F124" i="57"/>
  <c r="N175" i="56"/>
  <c r="L175" i="56"/>
  <c r="M175" i="56" s="1"/>
  <c r="G80" i="56"/>
  <c r="K208" i="55"/>
  <c r="L208" i="55" s="1"/>
  <c r="M208" i="55" s="1"/>
  <c r="N208" i="55" s="1"/>
  <c r="O208" i="55" s="1"/>
  <c r="K202" i="55"/>
  <c r="L202" i="55" s="1"/>
  <c r="M202" i="55" s="1"/>
  <c r="N202" i="55" s="1"/>
  <c r="O202" i="55" s="1"/>
  <c r="K199" i="55"/>
  <c r="L199" i="55" s="1"/>
  <c r="K194" i="55"/>
  <c r="L194" i="55" s="1"/>
  <c r="K207" i="55"/>
  <c r="L207" i="55" s="1"/>
  <c r="M207" i="55" s="1"/>
  <c r="N207" i="55" s="1"/>
  <c r="O207" i="55" s="1"/>
  <c r="K193" i="55"/>
  <c r="L193" i="55" s="1"/>
  <c r="K206" i="55"/>
  <c r="L206" i="55" s="1"/>
  <c r="M206" i="55" s="1"/>
  <c r="N206" i="55" s="1"/>
  <c r="O206" i="55" s="1"/>
  <c r="K198" i="55"/>
  <c r="L198" i="55" s="1"/>
  <c r="K195" i="55"/>
  <c r="L195" i="55" s="1"/>
  <c r="K196" i="55"/>
  <c r="L196" i="55" s="1"/>
  <c r="K203" i="55"/>
  <c r="L203" i="55" s="1"/>
  <c r="K200" i="55"/>
  <c r="L200" i="55" s="1"/>
  <c r="K197" i="55"/>
  <c r="L197" i="55" s="1"/>
  <c r="K201" i="55"/>
  <c r="L201" i="55" s="1"/>
  <c r="K204" i="55"/>
  <c r="L204" i="55" s="1"/>
  <c r="M204" i="55" s="1"/>
  <c r="N204" i="55" s="1"/>
  <c r="O204" i="55" s="1"/>
  <c r="K205" i="55"/>
  <c r="L205" i="55" s="1"/>
  <c r="M205" i="55" s="1"/>
  <c r="N205" i="55" s="1"/>
  <c r="O205" i="55" s="1"/>
  <c r="L15" i="55"/>
  <c r="L16" i="55"/>
  <c r="L18" i="55"/>
  <c r="L17" i="55"/>
  <c r="K26" i="55"/>
  <c r="K70" i="55"/>
  <c r="G82" i="56"/>
  <c r="L177" i="56"/>
  <c r="M177" i="56" s="1"/>
  <c r="N177" i="56"/>
  <c r="L35" i="55"/>
  <c r="M35" i="55" s="1"/>
  <c r="N35" i="55" s="1"/>
  <c r="O35" i="55" s="1"/>
  <c r="L10" i="55"/>
  <c r="L70" i="55" s="1"/>
  <c r="L11" i="55"/>
  <c r="L91" i="55" s="1"/>
  <c r="S50" i="57"/>
  <c r="S57" i="57"/>
  <c r="G103" i="56"/>
  <c r="G87" i="56"/>
  <c r="G86" i="56"/>
  <c r="G102" i="56"/>
  <c r="G77" i="56"/>
  <c r="L172" i="56"/>
  <c r="M172" i="56" s="1"/>
  <c r="N172" i="56"/>
  <c r="G78" i="56"/>
  <c r="N173" i="56"/>
  <c r="L173" i="56"/>
  <c r="M173" i="56" s="1"/>
  <c r="F121" i="57"/>
  <c r="F120" i="57"/>
  <c r="F119" i="57"/>
  <c r="H60" i="56"/>
  <c r="K149" i="55"/>
  <c r="K143" i="55"/>
  <c r="K139" i="55"/>
  <c r="K141" i="55"/>
  <c r="K146" i="55"/>
  <c r="K147" i="55"/>
  <c r="K136" i="55"/>
  <c r="K140" i="55"/>
  <c r="K144" i="55"/>
  <c r="K150" i="55"/>
  <c r="K135" i="55"/>
  <c r="K138" i="55"/>
  <c r="K142" i="55"/>
  <c r="K145" i="55"/>
  <c r="K137" i="55"/>
  <c r="K134" i="55"/>
  <c r="K151" i="55"/>
  <c r="K148" i="55"/>
  <c r="K152" i="55"/>
  <c r="K153" i="55"/>
  <c r="H48" i="56"/>
  <c r="G83" i="56"/>
  <c r="L178" i="56"/>
  <c r="M178" i="56" s="1"/>
  <c r="N178" i="56"/>
  <c r="N46" i="56"/>
  <c r="N47" i="56"/>
  <c r="N87" i="56" s="1"/>
  <c r="T51" i="56"/>
  <c r="T55" i="56"/>
  <c r="T58" i="56"/>
  <c r="T56" i="56"/>
  <c r="T57" i="56"/>
  <c r="T59" i="56"/>
  <c r="T86" i="56" s="1"/>
  <c r="AG77" i="56" s="1"/>
  <c r="T52" i="56"/>
  <c r="T53" i="56"/>
  <c r="T54" i="56"/>
  <c r="O16" i="55"/>
  <c r="O17" i="55"/>
  <c r="O18" i="55"/>
  <c r="O15" i="55"/>
  <c r="L21" i="55"/>
  <c r="L20" i="55"/>
  <c r="T46" i="56"/>
  <c r="T47" i="56"/>
  <c r="T87" i="56" s="1"/>
  <c r="G85" i="56"/>
  <c r="K30" i="55"/>
  <c r="K154" i="55"/>
  <c r="N51" i="56"/>
  <c r="N55" i="56"/>
  <c r="N58" i="56"/>
  <c r="N53" i="56"/>
  <c r="N52" i="56"/>
  <c r="N57" i="56"/>
  <c r="N56" i="56"/>
  <c r="N54" i="56"/>
  <c r="N59" i="56"/>
  <c r="N86" i="56" s="1"/>
  <c r="AA77" i="56" s="1"/>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K22" i="29"/>
  <c r="L36" i="29"/>
  <c r="U97" i="32"/>
  <c r="T73" i="32"/>
  <c r="T80" i="32" s="1"/>
  <c r="Q6" i="53"/>
  <c r="R4" i="53"/>
  <c r="Q3" i="53"/>
  <c r="Q7" i="53"/>
  <c r="Q22" i="53"/>
  <c r="Q25" i="53" s="1"/>
  <c r="Q5" i="53"/>
  <c r="Q12" i="53" a="1"/>
  <c r="Q12" i="53" s="1"/>
  <c r="Q11" i="53" s="1"/>
  <c r="Q67" i="53"/>
  <c r="Q104" i="53" s="1"/>
  <c r="L5" i="44"/>
  <c r="S21" i="32" s="1"/>
  <c r="R21" i="32"/>
  <c r="R45" i="32" s="1"/>
  <c r="P8" i="53"/>
  <c r="P76" i="53" s="1"/>
  <c r="O87" i="53"/>
  <c r="N25" i="32"/>
  <c r="N18" i="32" s="1"/>
  <c r="N37" i="32"/>
  <c r="P13" i="55"/>
  <c r="P133" i="55" s="1"/>
  <c r="M38" i="32"/>
  <c r="M25" i="32"/>
  <c r="M18" i="32" s="1"/>
  <c r="M37" i="32"/>
  <c r="N38" i="32"/>
  <c r="P6" i="35"/>
  <c r="K25" i="32"/>
  <c r="H32" i="44"/>
  <c r="P19" i="55"/>
  <c r="P192" i="55" s="1"/>
  <c r="K23" i="35"/>
  <c r="H8" i="47" s="1"/>
  <c r="K25" i="35"/>
  <c r="H6" i="47" s="1"/>
  <c r="K26" i="35"/>
  <c r="H7" i="47" s="1"/>
  <c r="K24" i="35"/>
  <c r="H9" i="47" s="1"/>
  <c r="K22" i="35"/>
  <c r="H5" i="47" s="1"/>
  <c r="L10" i="53"/>
  <c r="K38" i="32"/>
  <c r="E22" i="32"/>
  <c r="J37" i="32"/>
  <c r="J25" i="32"/>
  <c r="E23" i="32"/>
  <c r="E32" i="44"/>
  <c r="L23" i="32" s="1"/>
  <c r="L35" i="32" s="1"/>
  <c r="E31" i="44"/>
  <c r="L22" i="32" s="1"/>
  <c r="L34" i="32" s="1"/>
  <c r="H33" i="44"/>
  <c r="H31" i="44"/>
  <c r="R83" i="47"/>
  <c r="Y30" i="32"/>
  <c r="AI30" i="32"/>
  <c r="Z29" i="32"/>
  <c r="AJ29" i="32"/>
  <c r="Q29" i="32"/>
  <c r="AE47" i="29"/>
  <c r="S83" i="47"/>
  <c r="W47" i="29"/>
  <c r="AI75" i="32" l="1"/>
  <c r="AH93" i="32"/>
  <c r="AH92" i="32"/>
  <c r="E35" i="32"/>
  <c r="E38" i="32" s="1"/>
  <c r="E34" i="32"/>
  <c r="E37" i="32" s="1"/>
  <c r="N180" i="56"/>
  <c r="M57" i="57"/>
  <c r="M163" i="57" s="1"/>
  <c r="D250" i="57"/>
  <c r="J257" i="57" s="1"/>
  <c r="E149" i="57"/>
  <c r="E151" i="57"/>
  <c r="E188" i="57" s="1"/>
  <c r="E150" i="57"/>
  <c r="E187" i="57" s="1"/>
  <c r="E248" i="57"/>
  <c r="F151" i="57"/>
  <c r="F188" i="57" s="1"/>
  <c r="F149" i="57"/>
  <c r="F150" i="57"/>
  <c r="F187" i="57" s="1"/>
  <c r="K177" i="55"/>
  <c r="K186" i="55"/>
  <c r="K184" i="55"/>
  <c r="K176" i="55"/>
  <c r="K174" i="55"/>
  <c r="K187" i="55"/>
  <c r="K178" i="55"/>
  <c r="K183" i="55"/>
  <c r="K175" i="55"/>
  <c r="K189" i="55"/>
  <c r="K180" i="55"/>
  <c r="K181" i="55"/>
  <c r="K185" i="55"/>
  <c r="K182" i="55"/>
  <c r="K179" i="55"/>
  <c r="M120" i="57"/>
  <c r="L34" i="44"/>
  <c r="L35" i="44" s="1"/>
  <c r="L29" i="44"/>
  <c r="L28" i="44"/>
  <c r="L27" i="44"/>
  <c r="L7" i="44"/>
  <c r="L9" i="44"/>
  <c r="L11" i="44"/>
  <c r="L13" i="44"/>
  <c r="L15" i="44"/>
  <c r="L17" i="44"/>
  <c r="L19" i="44"/>
  <c r="L21" i="44"/>
  <c r="L23" i="44"/>
  <c r="L8" i="44"/>
  <c r="L10" i="44"/>
  <c r="L12" i="44"/>
  <c r="L14" i="44"/>
  <c r="L16" i="44"/>
  <c r="L18" i="44"/>
  <c r="L20" i="44"/>
  <c r="L22" i="44"/>
  <c r="L24" i="44"/>
  <c r="K25" i="44"/>
  <c r="K26" i="44" s="1"/>
  <c r="K31" i="44"/>
  <c r="K30" i="44"/>
  <c r="K33" i="44" s="1"/>
  <c r="K32" i="44"/>
  <c r="K215" i="55"/>
  <c r="K217" i="55"/>
  <c r="K219" i="55"/>
  <c r="K228" i="55"/>
  <c r="K229" i="55"/>
  <c r="K221" i="55"/>
  <c r="K214" i="55"/>
  <c r="K218" i="55"/>
  <c r="K222" i="55"/>
  <c r="K245" i="55"/>
  <c r="L245" i="55" s="1"/>
  <c r="M245" i="55" s="1"/>
  <c r="N245" i="55" s="1"/>
  <c r="O245" i="55" s="1"/>
  <c r="K212" i="55"/>
  <c r="K213" i="55"/>
  <c r="K220" i="55"/>
  <c r="K223" i="55"/>
  <c r="K227" i="55"/>
  <c r="O38" i="55"/>
  <c r="O211" i="55"/>
  <c r="L145" i="55"/>
  <c r="M145" i="55" s="1"/>
  <c r="N145" i="55" s="1"/>
  <c r="O145" i="55" s="1"/>
  <c r="P145" i="55" s="1"/>
  <c r="L143" i="55"/>
  <c r="M143" i="55" s="1"/>
  <c r="N143" i="55" s="1"/>
  <c r="O143" i="55" s="1"/>
  <c r="P143" i="55" s="1"/>
  <c r="L149" i="55"/>
  <c r="M149" i="55" s="1"/>
  <c r="N149" i="55" s="1"/>
  <c r="O149" i="55" s="1"/>
  <c r="P149" i="55" s="1"/>
  <c r="K247" i="55"/>
  <c r="L247" i="55" s="1"/>
  <c r="M247" i="55" s="1"/>
  <c r="N247" i="55" s="1"/>
  <c r="O247" i="55" s="1"/>
  <c r="L115" i="55"/>
  <c r="M115" i="55" s="1"/>
  <c r="N115" i="55" s="1"/>
  <c r="O115" i="55" s="1"/>
  <c r="K242" i="55"/>
  <c r="L242" i="55" s="1"/>
  <c r="M242" i="55" s="1"/>
  <c r="N242" i="55" s="1"/>
  <c r="O242" i="55" s="1"/>
  <c r="K250" i="55"/>
  <c r="L250" i="55" s="1"/>
  <c r="M250" i="55" s="1"/>
  <c r="N250" i="55" s="1"/>
  <c r="O250" i="55" s="1"/>
  <c r="K246" i="55"/>
  <c r="L246" i="55" s="1"/>
  <c r="M246" i="55" s="1"/>
  <c r="N246" i="55" s="1"/>
  <c r="O246" i="55" s="1"/>
  <c r="K237" i="55"/>
  <c r="L237" i="55" s="1"/>
  <c r="I56" i="47" s="1"/>
  <c r="K240" i="55"/>
  <c r="L240" i="55" s="1"/>
  <c r="I59" i="47" s="1"/>
  <c r="K243" i="55"/>
  <c r="L243" i="55" s="1"/>
  <c r="I61" i="47" s="1"/>
  <c r="K226" i="55"/>
  <c r="K244" i="55"/>
  <c r="L244" i="55" s="1"/>
  <c r="M244" i="55" s="1"/>
  <c r="N244" i="55" s="1"/>
  <c r="O244" i="55" s="1"/>
  <c r="K241" i="55"/>
  <c r="L241" i="55" s="1"/>
  <c r="I54" i="47" s="1"/>
  <c r="L120" i="55"/>
  <c r="M120" i="55" s="1"/>
  <c r="N120" i="55" s="1"/>
  <c r="O120" i="55" s="1"/>
  <c r="K249" i="55"/>
  <c r="L249" i="55" s="1"/>
  <c r="M249" i="55" s="1"/>
  <c r="N249" i="55" s="1"/>
  <c r="O249" i="55" s="1"/>
  <c r="K234" i="55"/>
  <c r="L234" i="55" s="1"/>
  <c r="I52" i="47" s="1"/>
  <c r="K239" i="55"/>
  <c r="L239" i="55" s="1"/>
  <c r="I55" i="47" s="1"/>
  <c r="K253" i="55"/>
  <c r="L253" i="55" s="1"/>
  <c r="I132" i="47" s="1"/>
  <c r="K236" i="55"/>
  <c r="L236" i="55" s="1"/>
  <c r="I53" i="47" s="1"/>
  <c r="K225" i="55"/>
  <c r="K224" i="55"/>
  <c r="K251" i="55"/>
  <c r="L251" i="55" s="1"/>
  <c r="M251" i="55" s="1"/>
  <c r="N251" i="55" s="1"/>
  <c r="O251" i="55" s="1"/>
  <c r="K248" i="55"/>
  <c r="L248" i="55" s="1"/>
  <c r="M248" i="55" s="1"/>
  <c r="N248" i="55" s="1"/>
  <c r="O248" i="55" s="1"/>
  <c r="K252" i="55"/>
  <c r="L252" i="55" s="1"/>
  <c r="M252" i="55" s="1"/>
  <c r="N252" i="55" s="1"/>
  <c r="O252" i="55" s="1"/>
  <c r="K232" i="55"/>
  <c r="L232" i="55" s="1"/>
  <c r="M232" i="55" s="1"/>
  <c r="N232" i="55" s="1"/>
  <c r="O232" i="55" s="1"/>
  <c r="K238" i="55"/>
  <c r="L238" i="55" s="1"/>
  <c r="I60" i="47" s="1"/>
  <c r="K235" i="55"/>
  <c r="L235" i="55" s="1"/>
  <c r="I58" i="47" s="1"/>
  <c r="L128" i="55"/>
  <c r="M128" i="55" s="1"/>
  <c r="N128" i="55" s="1"/>
  <c r="O128" i="55" s="1"/>
  <c r="K231" i="55"/>
  <c r="L231" i="55" s="1"/>
  <c r="M231" i="55" s="1"/>
  <c r="N231" i="55" s="1"/>
  <c r="O231" i="55" s="1"/>
  <c r="G89" i="56"/>
  <c r="L116" i="55"/>
  <c r="M116" i="55" s="1"/>
  <c r="N116" i="55" s="1"/>
  <c r="O116" i="55" s="1"/>
  <c r="L211" i="55"/>
  <c r="O173" i="55"/>
  <c r="L130" i="55"/>
  <c r="M130" i="55" s="1"/>
  <c r="N130" i="55" s="1"/>
  <c r="O130" i="55" s="1"/>
  <c r="L173" i="55"/>
  <c r="P12" i="55"/>
  <c r="P112" i="55" s="1"/>
  <c r="D249" i="57"/>
  <c r="J256" i="57" s="1"/>
  <c r="P14" i="55"/>
  <c r="P154" i="55" s="1"/>
  <c r="P161" i="55" s="1"/>
  <c r="L123" i="55"/>
  <c r="M123" i="55" s="1"/>
  <c r="N123" i="55" s="1"/>
  <c r="O123" i="55" s="1"/>
  <c r="L117" i="55"/>
  <c r="M117" i="55" s="1"/>
  <c r="N117" i="55" s="1"/>
  <c r="O117" i="55" s="1"/>
  <c r="L30" i="55"/>
  <c r="M30" i="55" s="1"/>
  <c r="N30" i="55" s="1"/>
  <c r="O30" i="55" s="1"/>
  <c r="L131" i="55"/>
  <c r="M131" i="55" s="1"/>
  <c r="N131" i="55" s="1"/>
  <c r="O131" i="55" s="1"/>
  <c r="L125" i="55"/>
  <c r="M125" i="55" s="1"/>
  <c r="N125" i="55" s="1"/>
  <c r="O125" i="55" s="1"/>
  <c r="D248" i="57"/>
  <c r="J255" i="57" s="1"/>
  <c r="L129" i="55"/>
  <c r="M129" i="55" s="1"/>
  <c r="N129" i="55" s="1"/>
  <c r="O129" i="55" s="1"/>
  <c r="E129" i="57"/>
  <c r="E155" i="57" s="1"/>
  <c r="L113" i="55"/>
  <c r="M113" i="55" s="1"/>
  <c r="N113" i="55" s="1"/>
  <c r="O113" i="55" s="1"/>
  <c r="L122" i="55"/>
  <c r="M122" i="55" s="1"/>
  <c r="N122" i="55" s="1"/>
  <c r="O122" i="55" s="1"/>
  <c r="L121" i="55"/>
  <c r="M121" i="55" s="1"/>
  <c r="N121" i="55" s="1"/>
  <c r="O121" i="55" s="1"/>
  <c r="L127" i="55"/>
  <c r="M127" i="55" s="1"/>
  <c r="N127" i="55" s="1"/>
  <c r="O127" i="55" s="1"/>
  <c r="L132" i="55"/>
  <c r="M132" i="55" s="1"/>
  <c r="N132" i="55" s="1"/>
  <c r="O132" i="55" s="1"/>
  <c r="L124" i="55"/>
  <c r="M124" i="55" s="1"/>
  <c r="N124" i="55" s="1"/>
  <c r="O124" i="55" s="1"/>
  <c r="L114" i="55"/>
  <c r="M114" i="55" s="1"/>
  <c r="N114" i="55" s="1"/>
  <c r="O114" i="55" s="1"/>
  <c r="E128" i="57"/>
  <c r="E156" i="57" s="1"/>
  <c r="E193" i="57" s="1"/>
  <c r="E59" i="57"/>
  <c r="E60" i="57" s="1"/>
  <c r="M123" i="57"/>
  <c r="M124" i="57"/>
  <c r="M125" i="57"/>
  <c r="E249" i="57"/>
  <c r="M256" i="57" s="1"/>
  <c r="M117" i="57"/>
  <c r="M116" i="57"/>
  <c r="M115" i="57"/>
  <c r="L150" i="55"/>
  <c r="M150" i="55" s="1"/>
  <c r="N150" i="55" s="1"/>
  <c r="O150" i="55" s="1"/>
  <c r="P150" i="55" s="1"/>
  <c r="P11" i="55"/>
  <c r="P91" i="55" s="1"/>
  <c r="S121" i="57"/>
  <c r="S119" i="57"/>
  <c r="S120" i="57"/>
  <c r="E127" i="57"/>
  <c r="E154" i="57" s="1"/>
  <c r="P10" i="55"/>
  <c r="P70" i="55" s="1"/>
  <c r="P74" i="55" s="1"/>
  <c r="L153" i="55"/>
  <c r="M153" i="55" s="1"/>
  <c r="N153" i="55" s="1"/>
  <c r="O153" i="55" s="1"/>
  <c r="P153" i="55" s="1"/>
  <c r="F128" i="57"/>
  <c r="F156" i="57" s="1"/>
  <c r="F168" i="57" s="1"/>
  <c r="L119" i="55"/>
  <c r="M119" i="55" s="1"/>
  <c r="N119" i="55" s="1"/>
  <c r="O119" i="55" s="1"/>
  <c r="S115" i="57"/>
  <c r="S117" i="57"/>
  <c r="S116" i="57"/>
  <c r="L152" i="55"/>
  <c r="M152" i="55" s="1"/>
  <c r="N152" i="55" s="1"/>
  <c r="O152" i="55" s="1"/>
  <c r="P152" i="55" s="1"/>
  <c r="L118" i="55"/>
  <c r="M118" i="55" s="1"/>
  <c r="N118" i="55" s="1"/>
  <c r="O118" i="55" s="1"/>
  <c r="S124" i="57"/>
  <c r="S123" i="57"/>
  <c r="S125" i="57"/>
  <c r="L16" i="29"/>
  <c r="L148" i="55"/>
  <c r="M148" i="55" s="1"/>
  <c r="N148" i="55" s="1"/>
  <c r="O148" i="55" s="1"/>
  <c r="P148" i="55" s="1"/>
  <c r="L147" i="55"/>
  <c r="M147" i="55" s="1"/>
  <c r="N147" i="55" s="1"/>
  <c r="O147" i="55" s="1"/>
  <c r="P147" i="55" s="1"/>
  <c r="J228" i="57"/>
  <c r="L17" i="29"/>
  <c r="L146" i="55"/>
  <c r="M146" i="55" s="1"/>
  <c r="N146" i="55" s="1"/>
  <c r="O146" i="55" s="1"/>
  <c r="P146" i="55" s="1"/>
  <c r="L26" i="55"/>
  <c r="M26" i="55" s="1"/>
  <c r="N26" i="55" s="1"/>
  <c r="O26" i="55" s="1"/>
  <c r="L29" i="55"/>
  <c r="M29" i="55" s="1"/>
  <c r="N29" i="55" s="1"/>
  <c r="O29" i="55" s="1"/>
  <c r="P29" i="55" s="1"/>
  <c r="L126" i="55"/>
  <c r="M126" i="55" s="1"/>
  <c r="N126" i="55" s="1"/>
  <c r="O126" i="55" s="1"/>
  <c r="P22" i="55"/>
  <c r="P230" i="55" s="1"/>
  <c r="M121" i="57"/>
  <c r="M119" i="57"/>
  <c r="J230" i="57"/>
  <c r="P10" i="53"/>
  <c r="E250" i="57"/>
  <c r="K257" i="57" s="1"/>
  <c r="L257" i="57" s="1"/>
  <c r="L107" i="55"/>
  <c r="M107" i="55" s="1"/>
  <c r="N107" i="55" s="1"/>
  <c r="O107" i="55" s="1"/>
  <c r="M255" i="57"/>
  <c r="K167" i="55"/>
  <c r="L167" i="55" s="1"/>
  <c r="M167" i="55" s="1"/>
  <c r="N167" i="55" s="1"/>
  <c r="O167" i="55" s="1"/>
  <c r="K169" i="55"/>
  <c r="L169" i="55" s="1"/>
  <c r="M169" i="55" s="1"/>
  <c r="N169" i="55" s="1"/>
  <c r="O169" i="55" s="1"/>
  <c r="K157" i="55"/>
  <c r="K168" i="55"/>
  <c r="L168" i="55" s="1"/>
  <c r="M168" i="55" s="1"/>
  <c r="N168" i="55" s="1"/>
  <c r="O168" i="55" s="1"/>
  <c r="K171" i="55"/>
  <c r="L171" i="55" s="1"/>
  <c r="M171" i="55" s="1"/>
  <c r="N171" i="55" s="1"/>
  <c r="O171" i="55" s="1"/>
  <c r="K155" i="55"/>
  <c r="K172" i="55"/>
  <c r="L172" i="55" s="1"/>
  <c r="M172" i="55" s="1"/>
  <c r="N172" i="55" s="1"/>
  <c r="O172" i="55" s="1"/>
  <c r="K170" i="55"/>
  <c r="L170" i="55" s="1"/>
  <c r="M170" i="55" s="1"/>
  <c r="N170" i="55" s="1"/>
  <c r="O170" i="55" s="1"/>
  <c r="K163" i="55"/>
  <c r="K158" i="55"/>
  <c r="K162" i="55"/>
  <c r="K160" i="55"/>
  <c r="K159" i="55"/>
  <c r="K156" i="55"/>
  <c r="K165" i="55"/>
  <c r="K164" i="55"/>
  <c r="L164" i="55" s="1"/>
  <c r="M164" i="55" s="1"/>
  <c r="N164" i="55" s="1"/>
  <c r="O164" i="55" s="1"/>
  <c r="K161" i="55"/>
  <c r="K166" i="55"/>
  <c r="L166" i="55" s="1"/>
  <c r="M166" i="55" s="1"/>
  <c r="N166" i="55" s="1"/>
  <c r="O166" i="55" s="1"/>
  <c r="L142" i="55"/>
  <c r="I12" i="47" s="1"/>
  <c r="H12" i="47"/>
  <c r="N122" i="56"/>
  <c r="M143" i="56" s="1"/>
  <c r="L122" i="56"/>
  <c r="K143" i="56" s="1"/>
  <c r="F57" i="57"/>
  <c r="F161" i="57" s="1"/>
  <c r="M58" i="57"/>
  <c r="M162" i="57"/>
  <c r="P206" i="55"/>
  <c r="L111" i="55"/>
  <c r="M111" i="55" s="1"/>
  <c r="N111" i="55" s="1"/>
  <c r="O111" i="55" s="1"/>
  <c r="N93" i="56"/>
  <c r="N77" i="56"/>
  <c r="H46" i="56"/>
  <c r="H47" i="56"/>
  <c r="L138" i="55"/>
  <c r="I14" i="47" s="1"/>
  <c r="H14" i="47"/>
  <c r="H51" i="56"/>
  <c r="H59" i="56"/>
  <c r="H56" i="56"/>
  <c r="H55" i="56"/>
  <c r="H58" i="56"/>
  <c r="H57" i="56"/>
  <c r="H54" i="56"/>
  <c r="H53" i="56"/>
  <c r="H52" i="56"/>
  <c r="S162" i="57"/>
  <c r="S163" i="57"/>
  <c r="S161" i="57"/>
  <c r="S58" i="57"/>
  <c r="S59" i="57" s="1"/>
  <c r="S60" i="57" s="1"/>
  <c r="M51" i="57"/>
  <c r="M110" i="57"/>
  <c r="M111" i="57" s="1"/>
  <c r="L95" i="55"/>
  <c r="M95" i="55" s="1"/>
  <c r="N95" i="55" s="1"/>
  <c r="O95" i="55" s="1"/>
  <c r="L110" i="55"/>
  <c r="M110" i="55" s="1"/>
  <c r="N110" i="55" s="1"/>
  <c r="O110" i="55" s="1"/>
  <c r="P27" i="55"/>
  <c r="O23" i="32"/>
  <c r="G14" i="57"/>
  <c r="T81" i="56"/>
  <c r="T97" i="56"/>
  <c r="L135" i="55"/>
  <c r="I10" i="47" s="1"/>
  <c r="H10" i="47"/>
  <c r="S110" i="57"/>
  <c r="S111" i="57" s="1"/>
  <c r="S51" i="57"/>
  <c r="P207" i="55"/>
  <c r="L103" i="55"/>
  <c r="M103" i="55" s="1"/>
  <c r="N103" i="55" s="1"/>
  <c r="O103" i="55" s="1"/>
  <c r="L102" i="55"/>
  <c r="M102" i="55" s="1"/>
  <c r="N102" i="55" s="1"/>
  <c r="O102" i="55" s="1"/>
  <c r="P142" i="55"/>
  <c r="P137" i="55"/>
  <c r="P134" i="55"/>
  <c r="P138" i="55"/>
  <c r="P135" i="55"/>
  <c r="P140" i="55"/>
  <c r="P136" i="55"/>
  <c r="P151" i="55"/>
  <c r="P141" i="55"/>
  <c r="P144" i="55"/>
  <c r="P139" i="55"/>
  <c r="T96" i="56"/>
  <c r="T80" i="56"/>
  <c r="P205" i="55"/>
  <c r="L92" i="55"/>
  <c r="M92" i="55" s="1"/>
  <c r="N92" i="55" s="1"/>
  <c r="O92" i="55" s="1"/>
  <c r="L97" i="55"/>
  <c r="M97" i="55" s="1"/>
  <c r="N97" i="55" s="1"/>
  <c r="O97" i="55" s="1"/>
  <c r="T78" i="56"/>
  <c r="T94" i="56"/>
  <c r="P20" i="55"/>
  <c r="P21" i="55"/>
  <c r="P37" i="55" s="1"/>
  <c r="P16" i="55"/>
  <c r="P32" i="55" s="1"/>
  <c r="P15" i="55"/>
  <c r="P17" i="55"/>
  <c r="P33" i="55" s="1"/>
  <c r="P18" i="55"/>
  <c r="P34" i="55" s="1"/>
  <c r="N97" i="56"/>
  <c r="N81" i="56"/>
  <c r="T79" i="56"/>
  <c r="T95" i="56"/>
  <c r="L144" i="55"/>
  <c r="I19" i="47" s="1"/>
  <c r="H19" i="47"/>
  <c r="P204" i="55"/>
  <c r="L94" i="55"/>
  <c r="M94" i="55" s="1"/>
  <c r="N94" i="55" s="1"/>
  <c r="O94" i="55" s="1"/>
  <c r="L105" i="55"/>
  <c r="M105" i="55" s="1"/>
  <c r="N105" i="55" s="1"/>
  <c r="O105" i="55" s="1"/>
  <c r="N78" i="56"/>
  <c r="N94" i="56"/>
  <c r="N99" i="56"/>
  <c r="N83" i="56"/>
  <c r="L140" i="55"/>
  <c r="I13" i="47" s="1"/>
  <c r="H13" i="47"/>
  <c r="F127" i="57"/>
  <c r="F154" i="57" s="1"/>
  <c r="P202" i="55"/>
  <c r="L104" i="55"/>
  <c r="M104" i="55" s="1"/>
  <c r="N104" i="55" s="1"/>
  <c r="O104" i="55" s="1"/>
  <c r="L109" i="55"/>
  <c r="M109" i="55" s="1"/>
  <c r="N109" i="55" s="1"/>
  <c r="O109" i="55" s="1"/>
  <c r="N84" i="56"/>
  <c r="N100" i="56"/>
  <c r="T93" i="56"/>
  <c r="T77" i="56"/>
  <c r="T100" i="56"/>
  <c r="T84" i="56"/>
  <c r="L136" i="55"/>
  <c r="I16" i="47" s="1"/>
  <c r="H16" i="47"/>
  <c r="P35" i="55"/>
  <c r="P208" i="55"/>
  <c r="L101" i="55"/>
  <c r="M101" i="55" s="1"/>
  <c r="N101" i="55" s="1"/>
  <c r="O101" i="55" s="1"/>
  <c r="L106" i="55"/>
  <c r="M106" i="55" s="1"/>
  <c r="N106" i="55" s="1"/>
  <c r="O106" i="55" s="1"/>
  <c r="N79" i="56"/>
  <c r="N95" i="56"/>
  <c r="T99" i="56"/>
  <c r="T83" i="56"/>
  <c r="L100" i="55"/>
  <c r="M100" i="55" s="1"/>
  <c r="N100" i="55" s="1"/>
  <c r="O100" i="55" s="1"/>
  <c r="L108" i="55"/>
  <c r="M108" i="55" s="1"/>
  <c r="N108" i="55" s="1"/>
  <c r="O108" i="55" s="1"/>
  <c r="N96" i="56"/>
  <c r="N80" i="56"/>
  <c r="T101" i="56"/>
  <c r="T85" i="56"/>
  <c r="L151" i="55"/>
  <c r="I20" i="47" s="1"/>
  <c r="H20" i="47"/>
  <c r="L93" i="55"/>
  <c r="M93" i="55" s="1"/>
  <c r="N93" i="55" s="1"/>
  <c r="O93" i="55" s="1"/>
  <c r="L96" i="55"/>
  <c r="M96" i="55" s="1"/>
  <c r="N96" i="55" s="1"/>
  <c r="O96" i="55" s="1"/>
  <c r="O22" i="32"/>
  <c r="O34" i="32" s="1"/>
  <c r="G13" i="57"/>
  <c r="O24" i="32"/>
  <c r="O36" i="32" s="1"/>
  <c r="G15" i="57"/>
  <c r="P195" i="55"/>
  <c r="M27" i="47" s="1"/>
  <c r="P198" i="55"/>
  <c r="P194" i="55"/>
  <c r="M21" i="47" s="1"/>
  <c r="P196" i="55"/>
  <c r="M22" i="47" s="1"/>
  <c r="P203" i="55"/>
  <c r="M30" i="47" s="1"/>
  <c r="P201" i="55"/>
  <c r="P199" i="55"/>
  <c r="M24" i="47" s="1"/>
  <c r="P193" i="55"/>
  <c r="M26" i="47" s="1"/>
  <c r="P200" i="55"/>
  <c r="M28" i="47" s="1"/>
  <c r="P197" i="55"/>
  <c r="M25" i="47" s="1"/>
  <c r="N85" i="56"/>
  <c r="N101" i="56"/>
  <c r="L134" i="55"/>
  <c r="I15" i="47" s="1"/>
  <c r="H15" i="47"/>
  <c r="L141" i="55"/>
  <c r="I17" i="47" s="1"/>
  <c r="H17" i="47"/>
  <c r="N121" i="56"/>
  <c r="M142" i="56" s="1"/>
  <c r="L121" i="56"/>
  <c r="K142" i="56" s="1"/>
  <c r="L98" i="55"/>
  <c r="M98" i="55" s="1"/>
  <c r="N98" i="55" s="1"/>
  <c r="O98" i="55" s="1"/>
  <c r="N82" i="56"/>
  <c r="N98" i="56"/>
  <c r="T82" i="56"/>
  <c r="T98" i="56"/>
  <c r="L137" i="55"/>
  <c r="I11" i="47" s="1"/>
  <c r="H11" i="47"/>
  <c r="L139" i="55"/>
  <c r="I18" i="47" s="1"/>
  <c r="H18" i="47"/>
  <c r="K87" i="55"/>
  <c r="L87" i="55" s="1"/>
  <c r="M87" i="55" s="1"/>
  <c r="N87" i="55" s="1"/>
  <c r="O87" i="55" s="1"/>
  <c r="K74" i="55"/>
  <c r="K84" i="55"/>
  <c r="L84" i="55" s="1"/>
  <c r="M84" i="55" s="1"/>
  <c r="N84" i="55" s="1"/>
  <c r="O84" i="55" s="1"/>
  <c r="K85" i="55"/>
  <c r="L85" i="55" s="1"/>
  <c r="M85" i="55" s="1"/>
  <c r="N85" i="55" s="1"/>
  <c r="O85" i="55" s="1"/>
  <c r="K81" i="55"/>
  <c r="K71" i="55"/>
  <c r="K88" i="55"/>
  <c r="K79" i="55"/>
  <c r="K80" i="55"/>
  <c r="L80" i="55" s="1"/>
  <c r="M80" i="55" s="1"/>
  <c r="N80" i="55" s="1"/>
  <c r="O80" i="55" s="1"/>
  <c r="K75" i="55"/>
  <c r="K82" i="55"/>
  <c r="L82" i="55" s="1"/>
  <c r="M82" i="55" s="1"/>
  <c r="N82" i="55" s="1"/>
  <c r="O82" i="55" s="1"/>
  <c r="K72" i="55"/>
  <c r="K86" i="55"/>
  <c r="L86" i="55" s="1"/>
  <c r="M86" i="55" s="1"/>
  <c r="N86" i="55" s="1"/>
  <c r="O86" i="55" s="1"/>
  <c r="K83" i="55"/>
  <c r="L83" i="55" s="1"/>
  <c r="M83" i="55" s="1"/>
  <c r="N83" i="55" s="1"/>
  <c r="O83" i="55" s="1"/>
  <c r="K77" i="55"/>
  <c r="K78" i="55"/>
  <c r="K90" i="55"/>
  <c r="L90" i="55" s="1"/>
  <c r="M90" i="55" s="1"/>
  <c r="N90" i="55" s="1"/>
  <c r="O90" i="55" s="1"/>
  <c r="K73" i="55"/>
  <c r="K89" i="55"/>
  <c r="L89" i="55" s="1"/>
  <c r="M89" i="55" s="1"/>
  <c r="N89" i="55" s="1"/>
  <c r="O89" i="55" s="1"/>
  <c r="K76" i="55"/>
  <c r="L99" i="55"/>
  <c r="M99" i="55" s="1"/>
  <c r="N99" i="55" s="1"/>
  <c r="O99" i="55" s="1"/>
  <c r="F129" i="57"/>
  <c r="F155" i="57" s="1"/>
  <c r="G132" i="47"/>
  <c r="J132" i="47"/>
  <c r="K132" i="47"/>
  <c r="L132" i="47"/>
  <c r="G23" i="47"/>
  <c r="H23" i="47"/>
  <c r="I23" i="47"/>
  <c r="J23" i="47"/>
  <c r="K23" i="47"/>
  <c r="L23" i="47"/>
  <c r="G29" i="47"/>
  <c r="H29" i="47"/>
  <c r="I29" i="47"/>
  <c r="J29" i="47"/>
  <c r="K29" i="47"/>
  <c r="L29" i="47"/>
  <c r="J26" i="47"/>
  <c r="K26" i="47"/>
  <c r="L26" i="47"/>
  <c r="G26" i="47"/>
  <c r="H26" i="47"/>
  <c r="I26" i="47"/>
  <c r="J22" i="47"/>
  <c r="K22" i="47"/>
  <c r="L22" i="47"/>
  <c r="G22" i="47"/>
  <c r="H22" i="47"/>
  <c r="I22" i="47"/>
  <c r="J30" i="47"/>
  <c r="K30" i="47"/>
  <c r="L30" i="47"/>
  <c r="G30" i="47"/>
  <c r="H30" i="47"/>
  <c r="I30" i="47"/>
  <c r="G57" i="47"/>
  <c r="H57" i="47"/>
  <c r="I57" i="47"/>
  <c r="J57" i="47"/>
  <c r="K57" i="47"/>
  <c r="L57" i="47"/>
  <c r="G21" i="47"/>
  <c r="H21" i="47"/>
  <c r="I21" i="47"/>
  <c r="J21" i="47"/>
  <c r="K21" i="47"/>
  <c r="L21" i="47"/>
  <c r="G56" i="47"/>
  <c r="J56" i="47"/>
  <c r="K56" i="47"/>
  <c r="L56" i="47"/>
  <c r="G25" i="47"/>
  <c r="H25" i="47"/>
  <c r="I25" i="47"/>
  <c r="J25" i="47"/>
  <c r="K25" i="47"/>
  <c r="L25" i="47"/>
  <c r="G55" i="47"/>
  <c r="L55" i="47"/>
  <c r="J55" i="47"/>
  <c r="K55" i="47"/>
  <c r="G28" i="47"/>
  <c r="H28" i="47"/>
  <c r="I28" i="47"/>
  <c r="J28" i="47"/>
  <c r="K28" i="47"/>
  <c r="L28" i="47"/>
  <c r="G53" i="47"/>
  <c r="J53" i="47"/>
  <c r="K53" i="47"/>
  <c r="L53" i="47"/>
  <c r="G52" i="47"/>
  <c r="J52" i="47"/>
  <c r="K52" i="47"/>
  <c r="L52" i="47"/>
  <c r="G60" i="47"/>
  <c r="J60" i="47"/>
  <c r="K60" i="47"/>
  <c r="L60" i="47"/>
  <c r="G27" i="47"/>
  <c r="H27" i="47"/>
  <c r="I27" i="47"/>
  <c r="J27" i="47"/>
  <c r="K27" i="47"/>
  <c r="L27" i="47"/>
  <c r="L59" i="47"/>
  <c r="G59" i="47"/>
  <c r="K59" i="47"/>
  <c r="J59" i="47"/>
  <c r="J58" i="47"/>
  <c r="K58" i="47"/>
  <c r="L58" i="47"/>
  <c r="G58" i="47"/>
  <c r="G61" i="47"/>
  <c r="J61" i="47"/>
  <c r="K61" i="47"/>
  <c r="L61" i="47"/>
  <c r="G24" i="47"/>
  <c r="H24" i="47"/>
  <c r="I24" i="47"/>
  <c r="J24" i="47"/>
  <c r="K24" i="47"/>
  <c r="L24" i="47"/>
  <c r="P87" i="53"/>
  <c r="K50" i="29"/>
  <c r="M50" i="29"/>
  <c r="K49" i="29"/>
  <c r="M49" i="29"/>
  <c r="R22" i="53"/>
  <c r="R25" i="53" s="1"/>
  <c r="R67" i="53"/>
  <c r="R104" i="53" s="1"/>
  <c r="R12" i="53" a="1"/>
  <c r="R12" i="53" s="1"/>
  <c r="R11" i="53" s="1"/>
  <c r="R7" i="53"/>
  <c r="R3" i="53"/>
  <c r="R10" i="53" s="1"/>
  <c r="S4" i="53"/>
  <c r="R6" i="53"/>
  <c r="R5" i="53"/>
  <c r="P88" i="53"/>
  <c r="V97" i="32"/>
  <c r="U73" i="32"/>
  <c r="U80" i="32" s="1"/>
  <c r="Q8" i="53"/>
  <c r="F45" i="32"/>
  <c r="H21" i="57" s="1"/>
  <c r="R22" i="32"/>
  <c r="R34" i="32" s="1"/>
  <c r="R24" i="32"/>
  <c r="R36" i="32" s="1"/>
  <c r="R23" i="32"/>
  <c r="R35" i="32" s="1"/>
  <c r="P77" i="53"/>
  <c r="M28" i="29"/>
  <c r="M36" i="29" s="1"/>
  <c r="R51" i="29" s="1"/>
  <c r="M5" i="29"/>
  <c r="M5" i="44"/>
  <c r="T6" i="35"/>
  <c r="L51" i="29"/>
  <c r="H108" i="47"/>
  <c r="N19" i="32"/>
  <c r="L25" i="35"/>
  <c r="I6" i="47" s="1"/>
  <c r="N17" i="32"/>
  <c r="J38" i="32"/>
  <c r="M19" i="32"/>
  <c r="L23" i="35"/>
  <c r="K18" i="32"/>
  <c r="K17" i="32"/>
  <c r="K19" i="32"/>
  <c r="L24" i="35"/>
  <c r="K37" i="32"/>
  <c r="K39" i="32" s="1"/>
  <c r="R6" i="35"/>
  <c r="Q6" i="35"/>
  <c r="E25" i="32"/>
  <c r="L22" i="35"/>
  <c r="L25" i="32"/>
  <c r="I31" i="44"/>
  <c r="P22" i="32" s="1"/>
  <c r="P34" i="32" s="1"/>
  <c r="I33" i="44"/>
  <c r="P24" i="32" s="1"/>
  <c r="P36" i="32" s="1"/>
  <c r="L38" i="32"/>
  <c r="L26" i="35"/>
  <c r="M17" i="32"/>
  <c r="I32" i="44"/>
  <c r="P23" i="32" s="1"/>
  <c r="P35" i="32" s="1"/>
  <c r="J32" i="44"/>
  <c r="Q23" i="32" s="1"/>
  <c r="Q35" i="32" s="1"/>
  <c r="K48" i="29"/>
  <c r="H84" i="47" s="1"/>
  <c r="M48" i="29"/>
  <c r="AJ30" i="32"/>
  <c r="Z30" i="32"/>
  <c r="AK29" i="32"/>
  <c r="AA29" i="32"/>
  <c r="AB83" i="47"/>
  <c r="AF47" i="29"/>
  <c r="T83" i="47"/>
  <c r="X47" i="29"/>
  <c r="AJ75" i="32" l="1"/>
  <c r="AI92" i="32"/>
  <c r="AI93" i="32"/>
  <c r="O35" i="32"/>
  <c r="O38" i="32" s="1"/>
  <c r="E31" i="32"/>
  <c r="E19" i="32"/>
  <c r="E17" i="32"/>
  <c r="E18" i="32"/>
  <c r="Q77" i="53"/>
  <c r="M161" i="57"/>
  <c r="J108" i="47"/>
  <c r="N201" i="57"/>
  <c r="M215" i="57"/>
  <c r="F112" i="57"/>
  <c r="F186" i="57"/>
  <c r="F193" i="57"/>
  <c r="N207" i="57" s="1"/>
  <c r="M216" i="57"/>
  <c r="N202" i="57"/>
  <c r="BH201" i="57"/>
  <c r="L187" i="57"/>
  <c r="BG215" i="57"/>
  <c r="K215" i="57" s="1"/>
  <c r="J215" i="57"/>
  <c r="K201" i="57"/>
  <c r="L188" i="57"/>
  <c r="BG216" i="57"/>
  <c r="K216" i="57" s="1"/>
  <c r="BH202" i="57"/>
  <c r="J216" i="57"/>
  <c r="K202" i="57"/>
  <c r="E112" i="57"/>
  <c r="E186" i="57"/>
  <c r="H53" i="47"/>
  <c r="L183" i="55"/>
  <c r="M183" i="55" s="1"/>
  <c r="N183" i="55" s="1"/>
  <c r="O183" i="55" s="1"/>
  <c r="L219" i="55"/>
  <c r="M219" i="55" s="1"/>
  <c r="N219" i="55" s="1"/>
  <c r="O219" i="55" s="1"/>
  <c r="P30" i="55"/>
  <c r="M34" i="44"/>
  <c r="M35" i="44" s="1"/>
  <c r="M29" i="44"/>
  <c r="M28" i="44"/>
  <c r="M27" i="44"/>
  <c r="M7" i="44"/>
  <c r="M9" i="44"/>
  <c r="M11" i="44"/>
  <c r="M13" i="44"/>
  <c r="M15" i="44"/>
  <c r="M17" i="44"/>
  <c r="M19" i="44"/>
  <c r="M21" i="44"/>
  <c r="M23" i="44"/>
  <c r="M8" i="44"/>
  <c r="M10" i="44"/>
  <c r="M12" i="44"/>
  <c r="M14" i="44"/>
  <c r="M16" i="44"/>
  <c r="M18" i="44"/>
  <c r="M20" i="44"/>
  <c r="M22" i="44"/>
  <c r="M24" i="44"/>
  <c r="L25" i="44"/>
  <c r="L26" i="44" s="1"/>
  <c r="L31" i="44"/>
  <c r="S22" i="32" s="1"/>
  <c r="L30" i="44"/>
  <c r="L33" i="44" s="1"/>
  <c r="S24" i="32" s="1"/>
  <c r="S36" i="32" s="1"/>
  <c r="L32" i="44"/>
  <c r="S23" i="32" s="1"/>
  <c r="S45" i="32"/>
  <c r="P164" i="55"/>
  <c r="P168" i="55"/>
  <c r="P169" i="55"/>
  <c r="P158" i="55"/>
  <c r="M43" i="47" s="1"/>
  <c r="P155" i="55"/>
  <c r="M47" i="47" s="1"/>
  <c r="P157" i="55"/>
  <c r="M48" i="47" s="1"/>
  <c r="H132" i="47"/>
  <c r="P171" i="55"/>
  <c r="H59" i="47"/>
  <c r="P172" i="55"/>
  <c r="P160" i="55"/>
  <c r="M50" i="47" s="1"/>
  <c r="P166" i="55"/>
  <c r="P165" i="55"/>
  <c r="M51" i="47" s="1"/>
  <c r="P162" i="55"/>
  <c r="M49" i="47" s="1"/>
  <c r="P163" i="55"/>
  <c r="M44" i="47" s="1"/>
  <c r="P156" i="55"/>
  <c r="M42" i="47" s="1"/>
  <c r="P159" i="55"/>
  <c r="M46" i="47" s="1"/>
  <c r="H60" i="47"/>
  <c r="L186" i="55"/>
  <c r="M186" i="55" s="1"/>
  <c r="N186" i="55" s="1"/>
  <c r="O186" i="55" s="1"/>
  <c r="L215" i="55"/>
  <c r="M215" i="55" s="1"/>
  <c r="N215" i="55" s="1"/>
  <c r="O215" i="55" s="1"/>
  <c r="L182" i="55"/>
  <c r="M182" i="55" s="1"/>
  <c r="N182" i="55" s="1"/>
  <c r="O182" i="55" s="1"/>
  <c r="L187" i="55"/>
  <c r="M187" i="55" s="1"/>
  <c r="N187" i="55" s="1"/>
  <c r="O187" i="55" s="1"/>
  <c r="L174" i="55"/>
  <c r="M174" i="55" s="1"/>
  <c r="N174" i="55" s="1"/>
  <c r="O174" i="55" s="1"/>
  <c r="L177" i="55"/>
  <c r="M177" i="55" s="1"/>
  <c r="N177" i="55" s="1"/>
  <c r="O177" i="55" s="1"/>
  <c r="L188" i="55"/>
  <c r="M188" i="55" s="1"/>
  <c r="N188" i="55" s="1"/>
  <c r="O188" i="55" s="1"/>
  <c r="L181" i="55"/>
  <c r="M181" i="55" s="1"/>
  <c r="N181" i="55" s="1"/>
  <c r="O181" i="55" s="1"/>
  <c r="L184" i="55"/>
  <c r="M184" i="55" s="1"/>
  <c r="N184" i="55" s="1"/>
  <c r="O184" i="55" s="1"/>
  <c r="L180" i="55"/>
  <c r="M180" i="55" s="1"/>
  <c r="N180" i="55" s="1"/>
  <c r="O180" i="55" s="1"/>
  <c r="L176" i="55"/>
  <c r="M176" i="55" s="1"/>
  <c r="N176" i="55" s="1"/>
  <c r="O176" i="55" s="1"/>
  <c r="L189" i="55"/>
  <c r="M189" i="55" s="1"/>
  <c r="N189" i="55" s="1"/>
  <c r="O189" i="55" s="1"/>
  <c r="L179" i="55"/>
  <c r="M179" i="55" s="1"/>
  <c r="N179" i="55" s="1"/>
  <c r="O179" i="55" s="1"/>
  <c r="L175" i="55"/>
  <c r="M175" i="55" s="1"/>
  <c r="N175" i="55" s="1"/>
  <c r="O175" i="55" s="1"/>
  <c r="L185" i="55"/>
  <c r="M185" i="55" s="1"/>
  <c r="N185" i="55" s="1"/>
  <c r="O185" i="55" s="1"/>
  <c r="L178" i="55"/>
  <c r="M178" i="55" s="1"/>
  <c r="N178" i="55" s="1"/>
  <c r="O178" i="55" s="1"/>
  <c r="E153" i="57"/>
  <c r="E165" i="57" s="1"/>
  <c r="P101" i="55"/>
  <c r="P167" i="55"/>
  <c r="H55" i="47"/>
  <c r="H54" i="47"/>
  <c r="P246" i="55"/>
  <c r="H56" i="47"/>
  <c r="H61" i="47"/>
  <c r="P100" i="55"/>
  <c r="H58" i="47"/>
  <c r="H52" i="47"/>
  <c r="M128" i="57"/>
  <c r="M156" i="57" s="1"/>
  <c r="M168" i="57" s="1"/>
  <c r="E168" i="57"/>
  <c r="J235" i="57" s="1"/>
  <c r="D252" i="57"/>
  <c r="J259" i="57" s="1"/>
  <c r="L222" i="55"/>
  <c r="M222" i="55" s="1"/>
  <c r="N222" i="55" s="1"/>
  <c r="O222" i="55" s="1"/>
  <c r="L227" i="55"/>
  <c r="M227" i="55" s="1"/>
  <c r="N227" i="55" s="1"/>
  <c r="O227" i="55" s="1"/>
  <c r="L212" i="55"/>
  <c r="M212" i="55" s="1"/>
  <c r="N212" i="55" s="1"/>
  <c r="O212" i="55" s="1"/>
  <c r="L216" i="55"/>
  <c r="M216" i="55" s="1"/>
  <c r="N216" i="55" s="1"/>
  <c r="O216" i="55" s="1"/>
  <c r="L228" i="55"/>
  <c r="M228" i="55" s="1"/>
  <c r="N228" i="55" s="1"/>
  <c r="O228" i="55" s="1"/>
  <c r="L214" i="55"/>
  <c r="M214" i="55" s="1"/>
  <c r="N214" i="55" s="1"/>
  <c r="O214" i="55" s="1"/>
  <c r="L223" i="55"/>
  <c r="M223" i="55" s="1"/>
  <c r="N223" i="55" s="1"/>
  <c r="O223" i="55" s="1"/>
  <c r="L217" i="55"/>
  <c r="M217" i="55" s="1"/>
  <c r="N217" i="55" s="1"/>
  <c r="O217" i="55" s="1"/>
  <c r="L221" i="55"/>
  <c r="M221" i="55" s="1"/>
  <c r="N221" i="55" s="1"/>
  <c r="O221" i="55" s="1"/>
  <c r="L229" i="55"/>
  <c r="M229" i="55" s="1"/>
  <c r="N229" i="55" s="1"/>
  <c r="O229" i="55" s="1"/>
  <c r="L226" i="55"/>
  <c r="M226" i="55" s="1"/>
  <c r="N226" i="55" s="1"/>
  <c r="O226" i="55" s="1"/>
  <c r="L224" i="55"/>
  <c r="M224" i="55" s="1"/>
  <c r="N224" i="55" s="1"/>
  <c r="O224" i="55" s="1"/>
  <c r="P170" i="55"/>
  <c r="L225" i="55"/>
  <c r="M225" i="55" s="1"/>
  <c r="N225" i="55" s="1"/>
  <c r="O225" i="55" s="1"/>
  <c r="L220" i="55"/>
  <c r="M220" i="55" s="1"/>
  <c r="N220" i="55" s="1"/>
  <c r="O220" i="55" s="1"/>
  <c r="L213" i="55"/>
  <c r="M213" i="55" s="1"/>
  <c r="N213" i="55" s="1"/>
  <c r="O213" i="55" s="1"/>
  <c r="L218" i="55"/>
  <c r="M218" i="55" s="1"/>
  <c r="N218" i="55" s="1"/>
  <c r="O218" i="55" s="1"/>
  <c r="T89" i="56"/>
  <c r="N89" i="56"/>
  <c r="N73" i="56" s="1"/>
  <c r="AA76" i="56"/>
  <c r="AA78" i="56" s="1"/>
  <c r="AA80" i="56" s="1"/>
  <c r="P78" i="55"/>
  <c r="K256" i="57"/>
  <c r="L256" i="57" s="1"/>
  <c r="P82" i="55"/>
  <c r="AG76" i="56"/>
  <c r="AG78" i="56" s="1"/>
  <c r="AG80" i="56" s="1"/>
  <c r="O25" i="32"/>
  <c r="O18" i="32" s="1"/>
  <c r="K255" i="57"/>
  <c r="L255" i="57" s="1"/>
  <c r="M257" i="57"/>
  <c r="P38" i="55"/>
  <c r="D251" i="57"/>
  <c r="J258" i="57" s="1"/>
  <c r="P26" i="55"/>
  <c r="O37" i="32"/>
  <c r="M127" i="57"/>
  <c r="M154" i="57" s="1"/>
  <c r="M166" i="57" s="1"/>
  <c r="M129" i="57"/>
  <c r="M152" i="57" s="1"/>
  <c r="M164" i="57" s="1"/>
  <c r="P124" i="55"/>
  <c r="S127" i="57"/>
  <c r="S154" i="57" s="1"/>
  <c r="S166" i="57" s="1"/>
  <c r="P245" i="55"/>
  <c r="P75" i="55"/>
  <c r="P73" i="55"/>
  <c r="P89" i="55"/>
  <c r="P81" i="55"/>
  <c r="P240" i="55"/>
  <c r="M59" i="47" s="1"/>
  <c r="P238" i="55"/>
  <c r="M60" i="47" s="1"/>
  <c r="P236" i="55"/>
  <c r="M53" i="47" s="1"/>
  <c r="P241" i="55"/>
  <c r="P243" i="55"/>
  <c r="M61" i="47" s="1"/>
  <c r="P234" i="55"/>
  <c r="M52" i="47" s="1"/>
  <c r="P235" i="55"/>
  <c r="M58" i="47" s="1"/>
  <c r="P233" i="55"/>
  <c r="M57" i="47" s="1"/>
  <c r="P239" i="55"/>
  <c r="M55" i="47" s="1"/>
  <c r="P237" i="55"/>
  <c r="M56" i="47" s="1"/>
  <c r="P253" i="55"/>
  <c r="M132" i="47" s="1"/>
  <c r="P242" i="55"/>
  <c r="E191" i="57"/>
  <c r="E166" i="57"/>
  <c r="P88" i="55"/>
  <c r="P90" i="55"/>
  <c r="P71" i="55"/>
  <c r="P85" i="55"/>
  <c r="P76" i="55"/>
  <c r="P251" i="55"/>
  <c r="P84" i="55"/>
  <c r="P72" i="55"/>
  <c r="M31" i="47" s="1"/>
  <c r="E190" i="57"/>
  <c r="P231" i="55"/>
  <c r="P80" i="55"/>
  <c r="P83" i="55"/>
  <c r="P77" i="55"/>
  <c r="E192" i="57"/>
  <c r="E167" i="57"/>
  <c r="BH207" i="57"/>
  <c r="BI207" i="57" s="1"/>
  <c r="L193" i="57"/>
  <c r="BG221" i="57"/>
  <c r="BH221" i="57" s="1"/>
  <c r="P232" i="55"/>
  <c r="P86" i="55"/>
  <c r="P87" i="55"/>
  <c r="P79" i="55"/>
  <c r="P248" i="55"/>
  <c r="P244" i="55"/>
  <c r="S128" i="57"/>
  <c r="S156" i="57" s="1"/>
  <c r="S168" i="57" s="1"/>
  <c r="P247" i="55"/>
  <c r="P252" i="55"/>
  <c r="P249" i="55"/>
  <c r="S129" i="57"/>
  <c r="P250" i="55"/>
  <c r="D253" i="57"/>
  <c r="J260" i="57" s="1"/>
  <c r="S61" i="57"/>
  <c r="Q10" i="53"/>
  <c r="P107" i="55"/>
  <c r="P92" i="55"/>
  <c r="P105" i="55"/>
  <c r="P94" i="55"/>
  <c r="P106" i="55"/>
  <c r="P99" i="55"/>
  <c r="P96" i="55"/>
  <c r="P93" i="55"/>
  <c r="P109" i="55"/>
  <c r="P98" i="55"/>
  <c r="P108" i="55"/>
  <c r="P104" i="55"/>
  <c r="P97" i="55"/>
  <c r="P103" i="55"/>
  <c r="P102" i="55"/>
  <c r="P95" i="55"/>
  <c r="P122" i="55"/>
  <c r="P115" i="55"/>
  <c r="P117" i="55"/>
  <c r="L157" i="55"/>
  <c r="I48" i="47" s="1"/>
  <c r="H48" i="47"/>
  <c r="L74" i="55"/>
  <c r="I32" i="47" s="1"/>
  <c r="H32" i="47"/>
  <c r="N181" i="56"/>
  <c r="P130" i="55"/>
  <c r="M235" i="57"/>
  <c r="P31" i="55"/>
  <c r="P173" i="55"/>
  <c r="M14" i="47"/>
  <c r="M32" i="47"/>
  <c r="O173" i="56"/>
  <c r="P173" i="56" s="1"/>
  <c r="H78" i="56"/>
  <c r="P116" i="55"/>
  <c r="N182" i="56"/>
  <c r="L156" i="55"/>
  <c r="I42" i="47" s="1"/>
  <c r="H42" i="47"/>
  <c r="H86" i="56"/>
  <c r="H102" i="56"/>
  <c r="L165" i="55"/>
  <c r="I51" i="47" s="1"/>
  <c r="H51" i="47"/>
  <c r="E251" i="57"/>
  <c r="M131" i="47"/>
  <c r="M15" i="47"/>
  <c r="G16" i="57"/>
  <c r="G81" i="57"/>
  <c r="G108" i="57"/>
  <c r="G97" i="57"/>
  <c r="P111" i="55"/>
  <c r="L159" i="55"/>
  <c r="I46" i="47" s="1"/>
  <c r="H46" i="47"/>
  <c r="L181" i="56"/>
  <c r="G97" i="47"/>
  <c r="M130" i="47"/>
  <c r="M10" i="47"/>
  <c r="L72" i="55"/>
  <c r="I31" i="47" s="1"/>
  <c r="H31" i="47"/>
  <c r="M127" i="47"/>
  <c r="M45" i="47"/>
  <c r="P129" i="55"/>
  <c r="P128" i="55"/>
  <c r="M11" i="47"/>
  <c r="L160" i="55"/>
  <c r="I50" i="47" s="1"/>
  <c r="H50" i="47"/>
  <c r="N32" i="57"/>
  <c r="G21" i="57"/>
  <c r="G101" i="57"/>
  <c r="G86" i="57"/>
  <c r="P113" i="55"/>
  <c r="M12" i="47"/>
  <c r="P114" i="55"/>
  <c r="H87" i="56"/>
  <c r="H103" i="56"/>
  <c r="L162" i="55"/>
  <c r="I49" i="47" s="1"/>
  <c r="H49" i="47"/>
  <c r="L207" i="57"/>
  <c r="M207" i="57" s="1"/>
  <c r="M221" i="57"/>
  <c r="L182" i="56"/>
  <c r="G98" i="47"/>
  <c r="L75" i="55"/>
  <c r="I35" i="47" s="1"/>
  <c r="H35" i="47"/>
  <c r="P118" i="55"/>
  <c r="P119" i="55"/>
  <c r="M134" i="47"/>
  <c r="P132" i="55"/>
  <c r="H79" i="56"/>
  <c r="O174" i="56"/>
  <c r="P174" i="56" s="1"/>
  <c r="H77" i="56"/>
  <c r="O172" i="56"/>
  <c r="P172" i="56" s="1"/>
  <c r="L158" i="55"/>
  <c r="I43" i="47" s="1"/>
  <c r="H43" i="47"/>
  <c r="L77" i="55"/>
  <c r="I34" i="47" s="1"/>
  <c r="H34" i="47"/>
  <c r="M29" i="47"/>
  <c r="G107" i="57"/>
  <c r="G75" i="57"/>
  <c r="G93" i="57"/>
  <c r="P131" i="55"/>
  <c r="P36" i="55"/>
  <c r="P211" i="55"/>
  <c r="P127" i="55"/>
  <c r="M18" i="47"/>
  <c r="E253" i="57"/>
  <c r="M135" i="47"/>
  <c r="H80" i="56"/>
  <c r="O175" i="56"/>
  <c r="P175" i="56" s="1"/>
  <c r="L163" i="55"/>
  <c r="I44" i="47" s="1"/>
  <c r="H44" i="47"/>
  <c r="L76" i="55"/>
  <c r="I39" i="47" s="1"/>
  <c r="H39" i="47"/>
  <c r="L79" i="55"/>
  <c r="I33" i="47" s="1"/>
  <c r="H33" i="47"/>
  <c r="P120" i="55"/>
  <c r="M19" i="47"/>
  <c r="P110" i="55"/>
  <c r="H81" i="56"/>
  <c r="O176" i="56"/>
  <c r="P176" i="56" s="1"/>
  <c r="L88" i="55"/>
  <c r="I40" i="47" s="1"/>
  <c r="H40" i="47"/>
  <c r="M17" i="47"/>
  <c r="H84" i="56"/>
  <c r="O179" i="56"/>
  <c r="P179" i="56" s="1"/>
  <c r="M61" i="57"/>
  <c r="F61" i="57" s="1"/>
  <c r="F58" i="57"/>
  <c r="M59" i="57"/>
  <c r="P123" i="55"/>
  <c r="M23" i="47"/>
  <c r="L73" i="55"/>
  <c r="I37" i="47" s="1"/>
  <c r="H37" i="47"/>
  <c r="L71" i="55"/>
  <c r="I36" i="47" s="1"/>
  <c r="H36" i="47"/>
  <c r="P126" i="55"/>
  <c r="E252" i="57"/>
  <c r="M20" i="47"/>
  <c r="H85" i="56"/>
  <c r="O180" i="56"/>
  <c r="P180" i="56" s="1"/>
  <c r="L155" i="55"/>
  <c r="I47" i="47" s="1"/>
  <c r="H47" i="47"/>
  <c r="L81" i="55"/>
  <c r="I41" i="47" s="1"/>
  <c r="H41" i="47"/>
  <c r="P125" i="55"/>
  <c r="P121" i="55"/>
  <c r="F191" i="57"/>
  <c r="F166" i="57"/>
  <c r="M16" i="47"/>
  <c r="S151" i="57"/>
  <c r="S149" i="57"/>
  <c r="S150" i="57"/>
  <c r="M151" i="57"/>
  <c r="M150" i="57"/>
  <c r="M149" i="57"/>
  <c r="H82" i="56"/>
  <c r="O177" i="56"/>
  <c r="P177" i="56" s="1"/>
  <c r="F45" i="57"/>
  <c r="F163" i="57"/>
  <c r="F162" i="57"/>
  <c r="L161" i="55"/>
  <c r="I45" i="47" s="1"/>
  <c r="H45" i="47"/>
  <c r="F192" i="57"/>
  <c r="F167" i="57"/>
  <c r="L78" i="55"/>
  <c r="I38" i="47" s="1"/>
  <c r="H38" i="47"/>
  <c r="M121" i="56"/>
  <c r="L142" i="56" s="1"/>
  <c r="I97" i="47" s="1"/>
  <c r="M128" i="47"/>
  <c r="M13" i="47"/>
  <c r="H83" i="56"/>
  <c r="O178" i="56"/>
  <c r="P178" i="56" s="1"/>
  <c r="M122" i="56"/>
  <c r="L143" i="56" s="1"/>
  <c r="I98" i="47" s="1"/>
  <c r="N49" i="29"/>
  <c r="L49" i="29"/>
  <c r="I85" i="47" s="1"/>
  <c r="H85" i="47"/>
  <c r="N50" i="29"/>
  <c r="L50" i="29"/>
  <c r="I86" i="47" s="1"/>
  <c r="H86" i="47"/>
  <c r="M17" i="29"/>
  <c r="M23" i="29" s="1"/>
  <c r="R49" i="29" s="1"/>
  <c r="M18" i="29"/>
  <c r="M16" i="29"/>
  <c r="M22" i="29" s="1"/>
  <c r="M25" i="35"/>
  <c r="N25" i="35" s="1"/>
  <c r="N51" i="29"/>
  <c r="K108" i="47" s="1"/>
  <c r="N5" i="44"/>
  <c r="U6" i="35"/>
  <c r="R37" i="32"/>
  <c r="F22" i="32"/>
  <c r="R25" i="32"/>
  <c r="F64" i="32"/>
  <c r="F65" i="32"/>
  <c r="F63" i="32"/>
  <c r="F67" i="32"/>
  <c r="F66" i="32"/>
  <c r="F50" i="32"/>
  <c r="F69" i="32"/>
  <c r="F68" i="32"/>
  <c r="R8" i="53"/>
  <c r="T4" i="53"/>
  <c r="S5" i="53"/>
  <c r="S67" i="53"/>
  <c r="S104" i="53" s="1"/>
  <c r="S6" i="53"/>
  <c r="S22" i="53"/>
  <c r="S25" i="53" s="1"/>
  <c r="S7" i="53"/>
  <c r="S3" i="53"/>
  <c r="S10" i="53" s="1"/>
  <c r="S12" i="53" a="1"/>
  <c r="S12" i="53" s="1"/>
  <c r="S11" i="53" s="1"/>
  <c r="Q76" i="53"/>
  <c r="W97" i="32"/>
  <c r="V73" i="32"/>
  <c r="V80" i="32" s="1"/>
  <c r="F23" i="32"/>
  <c r="R38" i="32"/>
  <c r="Q88" i="53"/>
  <c r="Q87" i="53"/>
  <c r="F24" i="32"/>
  <c r="L48" i="29"/>
  <c r="I84" i="47" s="1"/>
  <c r="J33" i="44"/>
  <c r="Q24" i="32" s="1"/>
  <c r="Q36" i="32" s="1"/>
  <c r="J31" i="44"/>
  <c r="Q22" i="32" s="1"/>
  <c r="Q34" i="32" s="1"/>
  <c r="I8" i="47"/>
  <c r="M23" i="35"/>
  <c r="M26" i="35"/>
  <c r="I7" i="47"/>
  <c r="P25" i="32"/>
  <c r="P18" i="32" s="1"/>
  <c r="Q38" i="32"/>
  <c r="L37" i="32"/>
  <c r="M22" i="35"/>
  <c r="I5" i="47"/>
  <c r="P38" i="32"/>
  <c r="L19" i="32"/>
  <c r="L18" i="32"/>
  <c r="L17" i="32"/>
  <c r="M24" i="35"/>
  <c r="I9" i="47"/>
  <c r="AK30" i="32"/>
  <c r="AA30" i="32"/>
  <c r="AC83" i="47"/>
  <c r="AG47" i="29"/>
  <c r="U83" i="47"/>
  <c r="Y47" i="29"/>
  <c r="AK75" i="32" l="1"/>
  <c r="AJ93" i="32"/>
  <c r="AJ92" i="32"/>
  <c r="F36" i="32"/>
  <c r="F35" i="32"/>
  <c r="F38" i="32" s="1"/>
  <c r="F34" i="32"/>
  <c r="F37" i="32" s="1"/>
  <c r="S35" i="32"/>
  <c r="S38" i="32" s="1"/>
  <c r="S25" i="32"/>
  <c r="S18" i="32" s="1"/>
  <c r="S34" i="32"/>
  <c r="S37" i="32" s="1"/>
  <c r="BI202" i="57"/>
  <c r="BH215" i="57"/>
  <c r="J84" i="47"/>
  <c r="J86" i="47"/>
  <c r="J85" i="47"/>
  <c r="L215" i="57"/>
  <c r="H102" i="47" s="1"/>
  <c r="G102" i="47"/>
  <c r="BG214" i="57"/>
  <c r="K214" i="57" s="1"/>
  <c r="BH200" i="57"/>
  <c r="L186" i="57"/>
  <c r="J214" i="57"/>
  <c r="K200" i="57"/>
  <c r="L202" i="57"/>
  <c r="M202" i="57" s="1"/>
  <c r="L216" i="57"/>
  <c r="H101" i="47" s="1"/>
  <c r="G101" i="47"/>
  <c r="BH216" i="57"/>
  <c r="N200" i="57"/>
  <c r="M214" i="57"/>
  <c r="BI201" i="57"/>
  <c r="L201" i="57"/>
  <c r="M201" i="57" s="1"/>
  <c r="U21" i="32"/>
  <c r="N29" i="44"/>
  <c r="N28" i="44"/>
  <c r="N34" i="44"/>
  <c r="N35" i="44" s="1"/>
  <c r="N27" i="44"/>
  <c r="N7" i="44"/>
  <c r="V6" i="35" s="1"/>
  <c r="N9" i="44"/>
  <c r="N11" i="44"/>
  <c r="N13" i="44"/>
  <c r="N15" i="44"/>
  <c r="N17" i="44"/>
  <c r="N19" i="44"/>
  <c r="N21" i="44"/>
  <c r="N23" i="44"/>
  <c r="N24" i="44"/>
  <c r="N8" i="44"/>
  <c r="N10" i="44"/>
  <c r="N12" i="44"/>
  <c r="N14" i="44"/>
  <c r="N16" i="44"/>
  <c r="N18" i="44"/>
  <c r="N20" i="44"/>
  <c r="N22" i="44"/>
  <c r="M25" i="44"/>
  <c r="M26" i="44" s="1"/>
  <c r="M31" i="44"/>
  <c r="M30" i="44"/>
  <c r="M33" i="44" s="1"/>
  <c r="M32" i="44"/>
  <c r="P187" i="55"/>
  <c r="M41" i="47"/>
  <c r="M39" i="47"/>
  <c r="P217" i="55"/>
  <c r="K235" i="57"/>
  <c r="L235" i="57" s="1"/>
  <c r="M38" i="47"/>
  <c r="O17" i="32"/>
  <c r="H89" i="56"/>
  <c r="O19" i="32"/>
  <c r="M155" i="57"/>
  <c r="M167" i="57" s="1"/>
  <c r="M153" i="57"/>
  <c r="M165" i="57" s="1"/>
  <c r="K221" i="57"/>
  <c r="M35" i="47"/>
  <c r="M36" i="47"/>
  <c r="M37" i="47"/>
  <c r="M40" i="47"/>
  <c r="S153" i="57"/>
  <c r="S165" i="57" s="1"/>
  <c r="S155" i="57"/>
  <c r="S167" i="57" s="1"/>
  <c r="S152" i="57"/>
  <c r="S164" i="57" s="1"/>
  <c r="M54" i="47"/>
  <c r="J233" i="57"/>
  <c r="K233" i="57" s="1"/>
  <c r="L233" i="57" s="1"/>
  <c r="M34" i="47"/>
  <c r="M33" i="47"/>
  <c r="J232" i="57"/>
  <c r="K232" i="57" s="1"/>
  <c r="L232" i="57" s="1"/>
  <c r="E169" i="57"/>
  <c r="E176" i="57" s="1"/>
  <c r="BG219" i="57"/>
  <c r="BH219" i="57" s="1"/>
  <c r="L191" i="57"/>
  <c r="BH205" i="57"/>
  <c r="BI205" i="57" s="1"/>
  <c r="BG218" i="57"/>
  <c r="BH218" i="57" s="1"/>
  <c r="L190" i="57"/>
  <c r="L204" i="57"/>
  <c r="M204" i="57" s="1"/>
  <c r="BH204" i="57"/>
  <c r="BI204" i="57" s="1"/>
  <c r="J234" i="57"/>
  <c r="K234" i="57" s="1"/>
  <c r="L234" i="57" s="1"/>
  <c r="BG220" i="57"/>
  <c r="BH220" i="57" s="1"/>
  <c r="BH206" i="57"/>
  <c r="BI206" i="57" s="1"/>
  <c r="L192" i="57"/>
  <c r="P227" i="55"/>
  <c r="P223" i="55"/>
  <c r="P176" i="55"/>
  <c r="P175" i="55"/>
  <c r="P212" i="55"/>
  <c r="P220" i="55"/>
  <c r="P186" i="55"/>
  <c r="P177" i="55"/>
  <c r="P174" i="55"/>
  <c r="P221" i="55"/>
  <c r="P182" i="55"/>
  <c r="P181" i="55"/>
  <c r="P189" i="55"/>
  <c r="P184" i="55"/>
  <c r="P213" i="55"/>
  <c r="P188" i="55"/>
  <c r="P185" i="55"/>
  <c r="P219" i="55"/>
  <c r="P179" i="55"/>
  <c r="P222" i="55"/>
  <c r="G117" i="57"/>
  <c r="G115" i="57"/>
  <c r="G116" i="57"/>
  <c r="P214" i="55"/>
  <c r="K230" i="57"/>
  <c r="L230" i="57" s="1"/>
  <c r="M230" i="57"/>
  <c r="P215" i="55"/>
  <c r="P226" i="55"/>
  <c r="K260" i="57"/>
  <c r="L260" i="57" s="1"/>
  <c r="M260" i="57"/>
  <c r="P216" i="55"/>
  <c r="K228" i="57"/>
  <c r="L228" i="57" s="1"/>
  <c r="M228" i="57"/>
  <c r="F169" i="57"/>
  <c r="F172" i="57" s="1"/>
  <c r="G123" i="57"/>
  <c r="G124" i="57"/>
  <c r="G120" i="57"/>
  <c r="G121" i="57"/>
  <c r="G119" i="57"/>
  <c r="M258" i="57"/>
  <c r="K258" i="57"/>
  <c r="L258" i="57" s="1"/>
  <c r="O121" i="56"/>
  <c r="N142" i="56" s="1"/>
  <c r="P180" i="55"/>
  <c r="K229" i="57"/>
  <c r="L229" i="57" s="1"/>
  <c r="M229" i="57"/>
  <c r="M234" i="57"/>
  <c r="M220" i="57"/>
  <c r="L206" i="57"/>
  <c r="M206" i="57" s="1"/>
  <c r="N206" i="57"/>
  <c r="M60" i="57"/>
  <c r="F60" i="57" s="1"/>
  <c r="F59" i="57"/>
  <c r="H32" i="57"/>
  <c r="G32" i="57"/>
  <c r="N87" i="57"/>
  <c r="N90" i="57" s="1"/>
  <c r="P178" i="55"/>
  <c r="P183" i="55"/>
  <c r="K259" i="57"/>
  <c r="L259" i="57" s="1"/>
  <c r="M259" i="57"/>
  <c r="P225" i="55"/>
  <c r="P224" i="55"/>
  <c r="L221" i="57"/>
  <c r="H105" i="47" s="1"/>
  <c r="M129" i="47"/>
  <c r="M133" i="47"/>
  <c r="P229" i="55"/>
  <c r="O122" i="56"/>
  <c r="N143" i="56" s="1"/>
  <c r="P228" i="55"/>
  <c r="P218" i="55"/>
  <c r="M233" i="57"/>
  <c r="M182" i="56"/>
  <c r="H98" i="47"/>
  <c r="M181" i="56"/>
  <c r="H97" i="47"/>
  <c r="L205" i="57"/>
  <c r="M205" i="57" s="1"/>
  <c r="N205" i="57"/>
  <c r="M219" i="57"/>
  <c r="N127" i="47"/>
  <c r="I108" i="47"/>
  <c r="O49" i="29"/>
  <c r="K85" i="47"/>
  <c r="O50" i="29"/>
  <c r="K86" i="47"/>
  <c r="M24" i="29"/>
  <c r="R50" i="29" s="1"/>
  <c r="J6" i="47"/>
  <c r="O51" i="29"/>
  <c r="P51" i="29" s="1"/>
  <c r="R66" i="32"/>
  <c r="K66" i="32"/>
  <c r="L66" i="32" s="1"/>
  <c r="M66" i="32" s="1"/>
  <c r="N66" i="32" s="1"/>
  <c r="O66" i="32" s="1"/>
  <c r="P66" i="32" s="1"/>
  <c r="Q66" i="32" s="1"/>
  <c r="S8" i="53"/>
  <c r="R88" i="53"/>
  <c r="R76" i="53"/>
  <c r="R87" i="53"/>
  <c r="R77" i="53"/>
  <c r="R67" i="32"/>
  <c r="K67" i="32"/>
  <c r="L67" i="32" s="1"/>
  <c r="M67" i="32" s="1"/>
  <c r="N67" i="32" s="1"/>
  <c r="O67" i="32" s="1"/>
  <c r="P67" i="32" s="1"/>
  <c r="Q67" i="32" s="1"/>
  <c r="W73" i="32"/>
  <c r="W80" i="32" s="1"/>
  <c r="X97" i="32"/>
  <c r="T22" i="53"/>
  <c r="T25" i="53" s="1"/>
  <c r="U4" i="53"/>
  <c r="T5" i="53"/>
  <c r="T6" i="53"/>
  <c r="T3" i="53"/>
  <c r="T10" i="53" s="1"/>
  <c r="T67" i="53"/>
  <c r="T104" i="53" s="1"/>
  <c r="T7" i="53"/>
  <c r="T12" i="53" a="1"/>
  <c r="T12" i="53" s="1"/>
  <c r="T11" i="53" s="1"/>
  <c r="R63" i="32"/>
  <c r="K63" i="32"/>
  <c r="L63" i="32" s="1"/>
  <c r="M63" i="32" s="1"/>
  <c r="N63" i="32" s="1"/>
  <c r="O63" i="32" s="1"/>
  <c r="P63" i="32" s="1"/>
  <c r="Q63" i="32" s="1"/>
  <c r="K65" i="32"/>
  <c r="L65" i="32" s="1"/>
  <c r="M65" i="32" s="1"/>
  <c r="N65" i="32" s="1"/>
  <c r="O65" i="32" s="1"/>
  <c r="P65" i="32" s="1"/>
  <c r="Q65" i="32" s="1"/>
  <c r="R65" i="32"/>
  <c r="K68" i="32"/>
  <c r="L68" i="32" s="1"/>
  <c r="M68" i="32" s="1"/>
  <c r="N68" i="32" s="1"/>
  <c r="O68" i="32" s="1"/>
  <c r="P68" i="32" s="1"/>
  <c r="Q68" i="32" s="1"/>
  <c r="R68" i="32"/>
  <c r="K64" i="32"/>
  <c r="L64" i="32" s="1"/>
  <c r="M64" i="32" s="1"/>
  <c r="N64" i="32" s="1"/>
  <c r="O64" i="32" s="1"/>
  <c r="P64" i="32" s="1"/>
  <c r="Q64" i="32" s="1"/>
  <c r="R64" i="32"/>
  <c r="R18" i="32"/>
  <c r="R17" i="32"/>
  <c r="R19" i="32"/>
  <c r="F25" i="32"/>
  <c r="F31" i="32" s="1"/>
  <c r="O5" i="44"/>
  <c r="K69" i="32"/>
  <c r="L69" i="32" s="1"/>
  <c r="M69" i="32" s="1"/>
  <c r="N69" i="32" s="1"/>
  <c r="O69" i="32" s="1"/>
  <c r="P69" i="32" s="1"/>
  <c r="Q69" i="32" s="1"/>
  <c r="R69" i="32"/>
  <c r="P19" i="32"/>
  <c r="N23" i="35"/>
  <c r="J8" i="47"/>
  <c r="N22" i="35"/>
  <c r="J5" i="47"/>
  <c r="O25" i="35"/>
  <c r="K6" i="47"/>
  <c r="P37" i="32"/>
  <c r="P17" i="32"/>
  <c r="N24" i="35"/>
  <c r="J9" i="47"/>
  <c r="Q25" i="32"/>
  <c r="Q18" i="32" s="1"/>
  <c r="Q37" i="32"/>
  <c r="J7" i="47"/>
  <c r="N26" i="35"/>
  <c r="AD83" i="47"/>
  <c r="AH47" i="29"/>
  <c r="V83" i="47"/>
  <c r="Z47" i="29"/>
  <c r="AL75" i="32" l="1"/>
  <c r="AK92" i="32"/>
  <c r="AK93" i="32"/>
  <c r="S19" i="32"/>
  <c r="F19" i="32"/>
  <c r="S17" i="32"/>
  <c r="F17" i="32"/>
  <c r="F18" i="32"/>
  <c r="BI200" i="57"/>
  <c r="G105" i="47"/>
  <c r="L214" i="57"/>
  <c r="H100" i="47" s="1"/>
  <c r="K219" i="57"/>
  <c r="L219" i="57" s="1"/>
  <c r="H103" i="47" s="1"/>
  <c r="L200" i="57"/>
  <c r="M200" i="57" s="1"/>
  <c r="BH214" i="57"/>
  <c r="N208" i="57"/>
  <c r="O29" i="44"/>
  <c r="O28" i="44"/>
  <c r="O34" i="44"/>
  <c r="O35" i="44" s="1"/>
  <c r="O27" i="44"/>
  <c r="O7" i="44"/>
  <c r="O9" i="44"/>
  <c r="O11" i="44"/>
  <c r="O13" i="44"/>
  <c r="O15" i="44"/>
  <c r="O17" i="44"/>
  <c r="O19" i="44"/>
  <c r="O21" i="44"/>
  <c r="O23" i="44"/>
  <c r="O8" i="44"/>
  <c r="O10" i="44"/>
  <c r="O12" i="44"/>
  <c r="O14" i="44"/>
  <c r="O16" i="44"/>
  <c r="O18" i="44"/>
  <c r="O20" i="44"/>
  <c r="O22" i="44"/>
  <c r="O24" i="44"/>
  <c r="N25" i="44"/>
  <c r="N26" i="44" s="1"/>
  <c r="N31" i="44"/>
  <c r="U22" i="32" s="1"/>
  <c r="N30" i="44"/>
  <c r="N33" i="44" s="1"/>
  <c r="U24" i="32" s="1"/>
  <c r="U36" i="32" s="1"/>
  <c r="N32" i="44"/>
  <c r="U23" i="32" s="1"/>
  <c r="U45" i="32"/>
  <c r="K220" i="57"/>
  <c r="S169" i="57"/>
  <c r="S178" i="57" s="1"/>
  <c r="E177" i="57"/>
  <c r="M169" i="57"/>
  <c r="E178" i="57"/>
  <c r="E173" i="57"/>
  <c r="E175" i="57"/>
  <c r="E174" i="57"/>
  <c r="E172" i="57"/>
  <c r="E179" i="57"/>
  <c r="K218" i="57"/>
  <c r="F177" i="57"/>
  <c r="P121" i="56"/>
  <c r="O142" i="56" s="1"/>
  <c r="P181" i="56" s="1"/>
  <c r="F178" i="57"/>
  <c r="P122" i="56"/>
  <c r="O143" i="56" s="1"/>
  <c r="P182" i="56" s="1"/>
  <c r="O181" i="56"/>
  <c r="J97" i="47"/>
  <c r="F174" i="57"/>
  <c r="G128" i="57"/>
  <c r="G156" i="57" s="1"/>
  <c r="G127" i="57"/>
  <c r="G154" i="57" s="1"/>
  <c r="G87" i="57"/>
  <c r="G90" i="57" s="1"/>
  <c r="G125" i="57" s="1"/>
  <c r="G129" i="57" s="1"/>
  <c r="G155" i="57" s="1"/>
  <c r="G109" i="57"/>
  <c r="H87" i="57"/>
  <c r="H90" i="57" s="1"/>
  <c r="O182" i="56"/>
  <c r="J98" i="47"/>
  <c r="O127" i="47"/>
  <c r="F173" i="57"/>
  <c r="F181" i="57" s="1"/>
  <c r="F182" i="57" s="1"/>
  <c r="F176" i="57"/>
  <c r="F175" i="57"/>
  <c r="F179" i="57"/>
  <c r="T8" i="53"/>
  <c r="P49" i="29"/>
  <c r="L85" i="47"/>
  <c r="P50" i="29"/>
  <c r="L86" i="47"/>
  <c r="L108" i="47"/>
  <c r="P5" i="44"/>
  <c r="W21" i="32" s="1"/>
  <c r="W6" i="35"/>
  <c r="V21" i="32"/>
  <c r="U7" i="53"/>
  <c r="U6" i="53"/>
  <c r="U22" i="53"/>
  <c r="U25" i="53" s="1"/>
  <c r="U3" i="53"/>
  <c r="U10" i="53" s="1"/>
  <c r="V4" i="53"/>
  <c r="U67" i="53"/>
  <c r="U104" i="53" s="1"/>
  <c r="U12" i="53" a="1"/>
  <c r="U12" i="53" s="1"/>
  <c r="U11" i="53" s="1"/>
  <c r="U5" i="53"/>
  <c r="X73" i="32"/>
  <c r="X80" i="32" s="1"/>
  <c r="Y97" i="32"/>
  <c r="R48" i="29"/>
  <c r="N48" i="29"/>
  <c r="S88" i="53"/>
  <c r="T88" i="53" s="1"/>
  <c r="S87" i="53"/>
  <c r="T87" i="53" s="1"/>
  <c r="S76" i="53"/>
  <c r="T76" i="53" s="1"/>
  <c r="S77" i="53"/>
  <c r="T77" i="53" s="1"/>
  <c r="M108" i="47"/>
  <c r="Q51" i="29"/>
  <c r="O108" i="47" s="1"/>
  <c r="Q19" i="32"/>
  <c r="O23" i="35"/>
  <c r="K8" i="47"/>
  <c r="O26" i="35"/>
  <c r="K7" i="47"/>
  <c r="K9" i="47"/>
  <c r="O24" i="35"/>
  <c r="P25" i="35"/>
  <c r="L6" i="47"/>
  <c r="O22" i="35"/>
  <c r="K5" i="47"/>
  <c r="Q17" i="32"/>
  <c r="AE83" i="47"/>
  <c r="AI47" i="29"/>
  <c r="W83" i="47"/>
  <c r="AA47" i="29"/>
  <c r="AM75" i="32" l="1"/>
  <c r="AL93" i="32"/>
  <c r="AL92" i="32"/>
  <c r="U35" i="32"/>
  <c r="U38" i="32" s="1"/>
  <c r="U34" i="32"/>
  <c r="U37" i="32" s="1"/>
  <c r="U8" i="53"/>
  <c r="V45" i="32"/>
  <c r="X83" i="47"/>
  <c r="Y83" i="47"/>
  <c r="G103" i="47"/>
  <c r="G100" i="47"/>
  <c r="L220" i="57"/>
  <c r="H107" i="47" s="1"/>
  <c r="U25" i="32"/>
  <c r="U18" i="32" s="1"/>
  <c r="O25" i="44"/>
  <c r="O26" i="44" s="1"/>
  <c r="P34" i="44"/>
  <c r="P35" i="44" s="1"/>
  <c r="P29" i="44"/>
  <c r="P28" i="44"/>
  <c r="P27" i="44"/>
  <c r="P7" i="44"/>
  <c r="P9" i="44"/>
  <c r="P11" i="44"/>
  <c r="P13" i="44"/>
  <c r="P15" i="44"/>
  <c r="P17" i="44"/>
  <c r="P19" i="44"/>
  <c r="P21" i="44"/>
  <c r="P23" i="44"/>
  <c r="P8" i="44"/>
  <c r="P10" i="44"/>
  <c r="P12" i="44"/>
  <c r="P14" i="44"/>
  <c r="P16" i="44"/>
  <c r="P18" i="44"/>
  <c r="P20" i="44"/>
  <c r="P22" i="44"/>
  <c r="P24" i="44"/>
  <c r="O31" i="44"/>
  <c r="V22" i="32" s="1"/>
  <c r="V34" i="32" s="1"/>
  <c r="O30" i="44"/>
  <c r="O33" i="44" s="1"/>
  <c r="O32" i="44"/>
  <c r="S174" i="57"/>
  <c r="S177" i="57"/>
  <c r="S172" i="57"/>
  <c r="S173" i="57"/>
  <c r="S176" i="57"/>
  <c r="S179" i="57"/>
  <c r="S175" i="57"/>
  <c r="M177" i="57"/>
  <c r="M179" i="57"/>
  <c r="M172" i="57"/>
  <c r="M174" i="57"/>
  <c r="M173" i="57"/>
  <c r="M175" i="57"/>
  <c r="M178" i="57"/>
  <c r="M176" i="57"/>
  <c r="E181" i="57"/>
  <c r="E182" i="57" s="1"/>
  <c r="K97" i="47"/>
  <c r="L218" i="57"/>
  <c r="H106" i="47" s="1"/>
  <c r="K98" i="47"/>
  <c r="G191" i="57"/>
  <c r="G166" i="57"/>
  <c r="G167" i="57"/>
  <c r="G192" i="57"/>
  <c r="U17" i="32"/>
  <c r="G168" i="57"/>
  <c r="G193" i="57"/>
  <c r="Q49" i="29"/>
  <c r="M85" i="47"/>
  <c r="U77" i="53"/>
  <c r="U76" i="53"/>
  <c r="U87" i="53"/>
  <c r="U88" i="53"/>
  <c r="Q50" i="29"/>
  <c r="O86" i="47" s="1"/>
  <c r="M86" i="47"/>
  <c r="V23" i="32"/>
  <c r="V24" i="32"/>
  <c r="V36" i="32" s="1"/>
  <c r="Q5" i="44"/>
  <c r="K84" i="47"/>
  <c r="O48" i="29"/>
  <c r="V6" i="53"/>
  <c r="W4" i="53"/>
  <c r="V3" i="53"/>
  <c r="V10" i="53" s="1"/>
  <c r="V12" i="53" a="1"/>
  <c r="V12" i="53" s="1"/>
  <c r="V11" i="53" s="1"/>
  <c r="V7" i="53"/>
  <c r="V22" i="53"/>
  <c r="V25" i="53" s="1"/>
  <c r="V67" i="53"/>
  <c r="V104" i="53" s="1"/>
  <c r="V5" i="53"/>
  <c r="Z97" i="32"/>
  <c r="Y73" i="32"/>
  <c r="Y80" i="32" s="1"/>
  <c r="P26" i="35"/>
  <c r="L7" i="47"/>
  <c r="Q25" i="35"/>
  <c r="M6" i="47"/>
  <c r="P24" i="35"/>
  <c r="L9" i="47"/>
  <c r="L8" i="47"/>
  <c r="P23" i="35"/>
  <c r="P22" i="35"/>
  <c r="L5" i="47"/>
  <c r="AF83" i="47"/>
  <c r="AJ47" i="29"/>
  <c r="AN75" i="32" l="1"/>
  <c r="AM92" i="32"/>
  <c r="AM93" i="32"/>
  <c r="V35" i="32"/>
  <c r="V38" i="32" s="1"/>
  <c r="V8" i="53"/>
  <c r="U19" i="32"/>
  <c r="N85" i="47"/>
  <c r="O85" i="47"/>
  <c r="G106" i="47"/>
  <c r="G107" i="47"/>
  <c r="P25" i="44"/>
  <c r="P26" i="44" s="1"/>
  <c r="P31" i="44"/>
  <c r="W22" i="32" s="1"/>
  <c r="P30" i="44"/>
  <c r="P33" i="44" s="1"/>
  <c r="W24" i="32" s="1"/>
  <c r="W36" i="32" s="1"/>
  <c r="P32" i="44"/>
  <c r="W23" i="32" s="1"/>
  <c r="Q28" i="44"/>
  <c r="Q34" i="44"/>
  <c r="Q35" i="44" s="1"/>
  <c r="Q29" i="44"/>
  <c r="Q27" i="44"/>
  <c r="Q8" i="44"/>
  <c r="Q10" i="44"/>
  <c r="Q12" i="44"/>
  <c r="Q14" i="44"/>
  <c r="Q16" i="44"/>
  <c r="Q18" i="44"/>
  <c r="Q20" i="44"/>
  <c r="Q22" i="44"/>
  <c r="Q24" i="44"/>
  <c r="Q7" i="44"/>
  <c r="Q9" i="44"/>
  <c r="Q11" i="44"/>
  <c r="Q13" i="44"/>
  <c r="Q15" i="44"/>
  <c r="Q17" i="44"/>
  <c r="Q19" i="44"/>
  <c r="Q21" i="44"/>
  <c r="Q23" i="44"/>
  <c r="X6" i="35"/>
  <c r="W45" i="32"/>
  <c r="M181" i="57"/>
  <c r="M182" i="57" s="1"/>
  <c r="S181" i="57"/>
  <c r="S182" i="57" s="1"/>
  <c r="O206" i="57"/>
  <c r="P206" i="57" s="1"/>
  <c r="N220" i="57"/>
  <c r="I107" i="47" s="1"/>
  <c r="N234" i="57"/>
  <c r="O234" i="57" s="1"/>
  <c r="O207" i="57"/>
  <c r="P207" i="57" s="1"/>
  <c r="N221" i="57"/>
  <c r="I105" i="47" s="1"/>
  <c r="N235" i="57"/>
  <c r="O235" i="57" s="1"/>
  <c r="N233" i="57"/>
  <c r="O233" i="57" s="1"/>
  <c r="O205" i="57"/>
  <c r="P205" i="57" s="1"/>
  <c r="N219" i="57"/>
  <c r="I103" i="47" s="1"/>
  <c r="N86" i="47"/>
  <c r="N108" i="47"/>
  <c r="V76" i="53"/>
  <c r="R5" i="44"/>
  <c r="Y6" i="35"/>
  <c r="P48" i="29"/>
  <c r="L84" i="47"/>
  <c r="V37" i="32"/>
  <c r="V25" i="32"/>
  <c r="V18" i="32" s="1"/>
  <c r="AA97" i="32"/>
  <c r="Z73" i="32"/>
  <c r="Z80" i="32" s="1"/>
  <c r="V87" i="53"/>
  <c r="V77" i="53"/>
  <c r="X4" i="53"/>
  <c r="W6" i="53"/>
  <c r="W5" i="53"/>
  <c r="W12" i="53" a="1"/>
  <c r="W12" i="53" s="1"/>
  <c r="W11" i="53" s="1"/>
  <c r="W22" i="53"/>
  <c r="W25" i="53" s="1"/>
  <c r="W3" i="53"/>
  <c r="W10" i="53" s="1"/>
  <c r="W67" i="53"/>
  <c r="W104" i="53" s="1"/>
  <c r="W7" i="53"/>
  <c r="V88" i="53"/>
  <c r="Q24" i="35"/>
  <c r="M9" i="47"/>
  <c r="R25" i="35"/>
  <c r="N6" i="47"/>
  <c r="Q22" i="35"/>
  <c r="M5" i="47"/>
  <c r="Q23" i="35"/>
  <c r="M8" i="47"/>
  <c r="Q26" i="35"/>
  <c r="M7" i="47"/>
  <c r="AG83" i="47"/>
  <c r="AK47" i="29"/>
  <c r="AO75" i="32" l="1"/>
  <c r="AN93" i="32"/>
  <c r="AN92" i="32"/>
  <c r="W35" i="32"/>
  <c r="W38" i="32" s="1"/>
  <c r="W34" i="32"/>
  <c r="W37" i="32" s="1"/>
  <c r="W25" i="32"/>
  <c r="W18" i="32" s="1"/>
  <c r="AH83" i="47"/>
  <c r="AI83" i="47"/>
  <c r="R34" i="44"/>
  <c r="R35" i="44" s="1"/>
  <c r="R29" i="44"/>
  <c r="R28" i="44"/>
  <c r="R27" i="44"/>
  <c r="R8" i="44"/>
  <c r="R10" i="44"/>
  <c r="R12" i="44"/>
  <c r="R14" i="44"/>
  <c r="R16" i="44"/>
  <c r="R18" i="44"/>
  <c r="R20" i="44"/>
  <c r="R22" i="44"/>
  <c r="R24" i="44"/>
  <c r="R7" i="44"/>
  <c r="R9" i="44"/>
  <c r="R11" i="44"/>
  <c r="R13" i="44"/>
  <c r="R15" i="44"/>
  <c r="R17" i="44"/>
  <c r="R19" i="44"/>
  <c r="R21" i="44"/>
  <c r="R23" i="44"/>
  <c r="Q30" i="44"/>
  <c r="Q33" i="44" s="1"/>
  <c r="Q32" i="44"/>
  <c r="Q25" i="44"/>
  <c r="Q26" i="44" s="1"/>
  <c r="Q31" i="44"/>
  <c r="O220" i="57"/>
  <c r="J107" i="47"/>
  <c r="O219" i="57"/>
  <c r="J103" i="47" s="1"/>
  <c r="O221" i="57"/>
  <c r="J105" i="47" s="1"/>
  <c r="V17" i="32"/>
  <c r="W19" i="32"/>
  <c r="V19" i="32"/>
  <c r="W8" i="53"/>
  <c r="AA73" i="32"/>
  <c r="AA80" i="32" s="1"/>
  <c r="AB97" i="32"/>
  <c r="Z6" i="35"/>
  <c r="M84" i="47"/>
  <c r="Q48" i="29"/>
  <c r="X12" i="53" a="1"/>
  <c r="X12" i="53" s="1"/>
  <c r="X11" i="53" s="1"/>
  <c r="Y4" i="53"/>
  <c r="X5" i="53"/>
  <c r="X7" i="53"/>
  <c r="X3" i="53"/>
  <c r="X10" i="53" s="1"/>
  <c r="X22" i="53"/>
  <c r="X25" i="53" s="1"/>
  <c r="X6" i="53"/>
  <c r="X67" i="53"/>
  <c r="X104" i="53" s="1"/>
  <c r="S5" i="44"/>
  <c r="S25" i="35"/>
  <c r="O6" i="47"/>
  <c r="R24" i="35"/>
  <c r="N9" i="47"/>
  <c r="N7" i="47"/>
  <c r="R26" i="35"/>
  <c r="N8" i="47"/>
  <c r="R23" i="35"/>
  <c r="N5" i="47"/>
  <c r="R22" i="35"/>
  <c r="AP75" i="32" l="1"/>
  <c r="AO92" i="32"/>
  <c r="AO93" i="32"/>
  <c r="W17" i="32"/>
  <c r="N84" i="47"/>
  <c r="O84" i="47"/>
  <c r="S28" i="44"/>
  <c r="S34" i="44"/>
  <c r="S35" i="44" s="1"/>
  <c r="S29" i="44"/>
  <c r="S27" i="44"/>
  <c r="S8" i="44"/>
  <c r="S10" i="44"/>
  <c r="S12" i="44"/>
  <c r="S14" i="44"/>
  <c r="S16" i="44"/>
  <c r="S18" i="44"/>
  <c r="S20" i="44"/>
  <c r="S22" i="44"/>
  <c r="S24" i="44"/>
  <c r="S7" i="44"/>
  <c r="S9" i="44"/>
  <c r="S11" i="44"/>
  <c r="S13" i="44"/>
  <c r="S15" i="44"/>
  <c r="S17" i="44"/>
  <c r="S19" i="44"/>
  <c r="S21" i="44"/>
  <c r="S23" i="44"/>
  <c r="R31" i="44"/>
  <c r="R25" i="44"/>
  <c r="R26" i="44" s="1"/>
  <c r="R30" i="44"/>
  <c r="R33" i="44" s="1"/>
  <c r="R32" i="44"/>
  <c r="W76" i="53"/>
  <c r="W77" i="53"/>
  <c r="T5" i="44"/>
  <c r="AA6" i="35"/>
  <c r="X8" i="53"/>
  <c r="AB73" i="32"/>
  <c r="AC97" i="32"/>
  <c r="W88" i="53"/>
  <c r="Y5" i="53"/>
  <c r="Y22" i="53"/>
  <c r="Y25" i="53" s="1"/>
  <c r="Y7" i="53"/>
  <c r="Y3" i="53"/>
  <c r="Y10" i="53" s="1"/>
  <c r="Y12" i="53" a="1"/>
  <c r="Y12" i="53" s="1"/>
  <c r="Y11" i="53" s="1"/>
  <c r="Y67" i="53"/>
  <c r="Y104" i="53" s="1"/>
  <c r="Y6" i="53"/>
  <c r="Z4" i="53"/>
  <c r="W87" i="53"/>
  <c r="O5" i="47"/>
  <c r="S22" i="35"/>
  <c r="S24" i="35"/>
  <c r="O9" i="47"/>
  <c r="S23" i="35"/>
  <c r="O8" i="47"/>
  <c r="P6" i="47"/>
  <c r="T25" i="35"/>
  <c r="S26" i="35"/>
  <c r="O7" i="47"/>
  <c r="AP92" i="32" l="1"/>
  <c r="AP93" i="32"/>
  <c r="T28" i="44"/>
  <c r="T34" i="44"/>
  <c r="T35" i="44" s="1"/>
  <c r="T29" i="44"/>
  <c r="T27" i="44"/>
  <c r="T24" i="44"/>
  <c r="T8" i="44"/>
  <c r="T10" i="44"/>
  <c r="T12" i="44"/>
  <c r="T14" i="44"/>
  <c r="T16" i="44"/>
  <c r="T18" i="44"/>
  <c r="T20" i="44"/>
  <c r="T22" i="44"/>
  <c r="T7" i="44"/>
  <c r="T9" i="44"/>
  <c r="T11" i="44"/>
  <c r="T13" i="44"/>
  <c r="T15" i="44"/>
  <c r="T17" i="44"/>
  <c r="T19" i="44"/>
  <c r="T21" i="44"/>
  <c r="T23" i="44"/>
  <c r="S30" i="44"/>
  <c r="S33" i="44" s="1"/>
  <c r="S32" i="44"/>
  <c r="S25" i="44"/>
  <c r="S26" i="44" s="1"/>
  <c r="S31" i="44"/>
  <c r="X87" i="53"/>
  <c r="X77" i="53"/>
  <c r="AA4" i="53"/>
  <c r="Z12" i="53" a="1"/>
  <c r="Z12" i="53" s="1"/>
  <c r="Z11" i="53" s="1"/>
  <c r="Z22" i="53"/>
  <c r="Z25" i="53" s="1"/>
  <c r="Z5" i="53"/>
  <c r="Z3" i="53"/>
  <c r="Z10" i="53" s="1"/>
  <c r="Z67" i="53"/>
  <c r="Z104" i="53" s="1"/>
  <c r="Z6" i="53"/>
  <c r="Z7" i="53"/>
  <c r="AD97" i="32"/>
  <c r="AC73" i="32"/>
  <c r="AC80" i="32" s="1"/>
  <c r="X76" i="53"/>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X88" i="53"/>
  <c r="U5" i="44"/>
  <c r="Y8" i="53"/>
  <c r="Y87" i="53" s="1"/>
  <c r="P9" i="47"/>
  <c r="T24" i="35"/>
  <c r="T26" i="35"/>
  <c r="P7" i="47"/>
  <c r="T23" i="35"/>
  <c r="P8" i="47"/>
  <c r="T22" i="35"/>
  <c r="P5" i="47"/>
  <c r="U25" i="35"/>
  <c r="Q6" i="47"/>
  <c r="Y92" i="32" l="1"/>
  <c r="Y93" i="32"/>
  <c r="AA92" i="32"/>
  <c r="AA93" i="32"/>
  <c r="Q93" i="32"/>
  <c r="Q92" i="32"/>
  <c r="S92" i="32"/>
  <c r="S93" i="32"/>
  <c r="W92" i="32"/>
  <c r="W93" i="32"/>
  <c r="V93" i="32"/>
  <c r="V92" i="32"/>
  <c r="Z93" i="32"/>
  <c r="Z92" i="32"/>
  <c r="U92" i="32"/>
  <c r="U93" i="32"/>
  <c r="T93" i="32"/>
  <c r="T92" i="32"/>
  <c r="R93" i="32"/>
  <c r="R92" i="32"/>
  <c r="X93" i="32"/>
  <c r="X92" i="32"/>
  <c r="T30" i="44"/>
  <c r="T33" i="44" s="1"/>
  <c r="T32" i="44"/>
  <c r="U29" i="44"/>
  <c r="U28" i="44"/>
  <c r="U34" i="44"/>
  <c r="U35" i="44" s="1"/>
  <c r="U27" i="44"/>
  <c r="U24" i="44"/>
  <c r="U8" i="44"/>
  <c r="U10" i="44"/>
  <c r="U12" i="44"/>
  <c r="U14" i="44"/>
  <c r="U16" i="44"/>
  <c r="U18" i="44"/>
  <c r="U20" i="44"/>
  <c r="U22" i="44"/>
  <c r="U7" i="44"/>
  <c r="U9" i="44"/>
  <c r="U11" i="44"/>
  <c r="U13" i="44"/>
  <c r="U15" i="44"/>
  <c r="U17" i="44"/>
  <c r="U19" i="44"/>
  <c r="U21" i="44"/>
  <c r="U23" i="44"/>
  <c r="T25" i="44"/>
  <c r="T26" i="44" s="1"/>
  <c r="T31" i="44"/>
  <c r="AB6" i="35"/>
  <c r="AA5" i="53"/>
  <c r="AA3" i="53"/>
  <c r="AA10" i="53" s="1"/>
  <c r="AB4" i="53"/>
  <c r="AA22" i="53"/>
  <c r="AA25" i="53" s="1"/>
  <c r="AA12" i="53" a="1"/>
  <c r="AA12" i="53" s="1"/>
  <c r="AA11" i="53" s="1"/>
  <c r="AA7" i="53"/>
  <c r="AA67" i="53"/>
  <c r="AA104" i="53" s="1"/>
  <c r="AA6" i="53"/>
  <c r="Y76" i="53"/>
  <c r="V5" i="44"/>
  <c r="Y77" i="53"/>
  <c r="Y88" i="53"/>
  <c r="Z8" i="53"/>
  <c r="AD73" i="32"/>
  <c r="AD80" i="32" s="1"/>
  <c r="AE97" i="32"/>
  <c r="U23" i="35"/>
  <c r="Q8" i="47"/>
  <c r="Q9" i="47"/>
  <c r="U24" i="35"/>
  <c r="V25" i="35"/>
  <c r="R6" i="47"/>
  <c r="U22" i="35"/>
  <c r="Q5" i="47"/>
  <c r="U26" i="35"/>
  <c r="Q7" i="47"/>
  <c r="W5" i="44" l="1"/>
  <c r="V29" i="44"/>
  <c r="V28" i="44"/>
  <c r="V34" i="44"/>
  <c r="V35" i="44" s="1"/>
  <c r="V27" i="44"/>
  <c r="V8" i="44"/>
  <c r="V10" i="44"/>
  <c r="V12" i="44"/>
  <c r="V14" i="44"/>
  <c r="V16" i="44"/>
  <c r="V18" i="44"/>
  <c r="V20" i="44"/>
  <c r="V22" i="44"/>
  <c r="V24" i="44"/>
  <c r="V7" i="44"/>
  <c r="V9" i="44"/>
  <c r="V11" i="44"/>
  <c r="V13" i="44"/>
  <c r="V15" i="44"/>
  <c r="V17" i="44"/>
  <c r="V19" i="44"/>
  <c r="V21" i="44"/>
  <c r="V23" i="44"/>
  <c r="U25" i="44"/>
  <c r="U26" i="44" s="1"/>
  <c r="U31" i="44"/>
  <c r="U30" i="44"/>
  <c r="U33" i="44" s="1"/>
  <c r="U32" i="44"/>
  <c r="Z88" i="53"/>
  <c r="Z77" i="53"/>
  <c r="N3" i="29"/>
  <c r="AA8" i="53"/>
  <c r="AB67" i="53"/>
  <c r="AB104" i="53" s="1"/>
  <c r="AB12" i="53" a="1"/>
  <c r="AB12" i="53" s="1"/>
  <c r="AB11" i="53" s="1"/>
  <c r="AB22" i="53"/>
  <c r="AB25" i="53" s="1"/>
  <c r="AB5" i="53"/>
  <c r="AB7" i="53"/>
  <c r="AB3" i="53"/>
  <c r="AB10" i="53" s="1"/>
  <c r="AC4" i="53"/>
  <c r="AB6" i="53"/>
  <c r="AF97" i="32"/>
  <c r="AE73" i="32"/>
  <c r="AE80" i="32" s="1"/>
  <c r="AA88" i="53"/>
  <c r="T21" i="32"/>
  <c r="T45" i="32" s="1"/>
  <c r="X21" i="32"/>
  <c r="X45" i="32" s="1"/>
  <c r="AA21" i="32"/>
  <c r="AA45" i="32" s="1"/>
  <c r="Z21" i="32"/>
  <c r="Z45" i="32" s="1"/>
  <c r="Y21" i="32"/>
  <c r="Y45" i="32" s="1"/>
  <c r="AC21" i="32"/>
  <c r="AC45" i="32" s="1"/>
  <c r="AD21" i="32"/>
  <c r="AB21" i="32"/>
  <c r="AB45" i="32" s="1"/>
  <c r="AC6" i="35"/>
  <c r="AD6" i="35"/>
  <c r="Z76" i="53"/>
  <c r="AA76" i="53" s="1"/>
  <c r="Z87" i="53"/>
  <c r="AA87" i="53" s="1"/>
  <c r="V26" i="35"/>
  <c r="R7" i="47"/>
  <c r="V24" i="35"/>
  <c r="R9" i="47"/>
  <c r="R5" i="47"/>
  <c r="V22" i="35"/>
  <c r="R8" i="47"/>
  <c r="V23" i="35"/>
  <c r="W25" i="35"/>
  <c r="S6" i="47"/>
  <c r="AA77" i="53" l="1"/>
  <c r="V25" i="44"/>
  <c r="V26" i="44" s="1"/>
  <c r="V31" i="44"/>
  <c r="V30" i="44"/>
  <c r="V33" i="44" s="1"/>
  <c r="AC24" i="32" s="1"/>
  <c r="AC36" i="32" s="1"/>
  <c r="V32" i="44"/>
  <c r="X5" i="44"/>
  <c r="W28" i="44"/>
  <c r="W29" i="44"/>
  <c r="W34" i="44"/>
  <c r="W35" i="44" s="1"/>
  <c r="W27" i="44"/>
  <c r="W7" i="44"/>
  <c r="W9" i="44"/>
  <c r="W11" i="44"/>
  <c r="W13" i="44"/>
  <c r="W15" i="44"/>
  <c r="W17" i="44"/>
  <c r="W19" i="44"/>
  <c r="W21" i="44"/>
  <c r="W23" i="44"/>
  <c r="W8" i="44"/>
  <c r="W10" i="44"/>
  <c r="W12" i="44"/>
  <c r="W14" i="44"/>
  <c r="W16" i="44"/>
  <c r="W18" i="44"/>
  <c r="W20" i="44"/>
  <c r="W22" i="44"/>
  <c r="W24" i="44"/>
  <c r="AA23" i="32"/>
  <c r="AA22" i="32"/>
  <c r="AA34" i="32" s="1"/>
  <c r="AA24" i="32"/>
  <c r="AA36" i="32" s="1"/>
  <c r="Y24" i="32"/>
  <c r="Y36" i="32" s="1"/>
  <c r="Y23" i="32"/>
  <c r="Y22" i="32"/>
  <c r="Y34" i="32" s="1"/>
  <c r="X22" i="32"/>
  <c r="X34" i="32" s="1"/>
  <c r="X23" i="32"/>
  <c r="X24" i="32"/>
  <c r="X36" i="32" s="1"/>
  <c r="G45" i="32"/>
  <c r="I21" i="57" s="1"/>
  <c r="O32" i="57" s="1"/>
  <c r="AB22" i="32"/>
  <c r="AB34" i="32" s="1"/>
  <c r="AB24" i="32"/>
  <c r="AB36" i="32" s="1"/>
  <c r="AB23" i="32"/>
  <c r="AB35" i="32" s="1"/>
  <c r="T22" i="32"/>
  <c r="T34" i="32" s="1"/>
  <c r="T23" i="32"/>
  <c r="T35" i="32" s="1"/>
  <c r="T24" i="32"/>
  <c r="T36" i="32" s="1"/>
  <c r="AC23" i="32"/>
  <c r="AC22" i="32"/>
  <c r="AC34" i="32" s="1"/>
  <c r="AB8" i="53"/>
  <c r="Z24" i="32"/>
  <c r="Z36" i="32" s="1"/>
  <c r="Z22" i="32"/>
  <c r="Z34" i="32" s="1"/>
  <c r="Z23" i="32"/>
  <c r="AC5" i="53"/>
  <c r="AC22" i="53"/>
  <c r="AC25" i="53" s="1"/>
  <c r="AD4" i="53"/>
  <c r="AC7" i="53"/>
  <c r="AC67" i="53"/>
  <c r="AC104" i="53" s="1"/>
  <c r="AC6" i="53"/>
  <c r="AC12" i="53" a="1"/>
  <c r="AC12" i="53" s="1"/>
  <c r="AC11" i="53" s="1"/>
  <c r="AC3" i="53"/>
  <c r="AC10" i="53" s="1"/>
  <c r="N5" i="29"/>
  <c r="N18" i="29" s="1"/>
  <c r="N28" i="29"/>
  <c r="N36" i="29" s="1"/>
  <c r="AF73" i="32"/>
  <c r="AF80" i="32" s="1"/>
  <c r="AG97" i="32"/>
  <c r="W26" i="35"/>
  <c r="S7" i="47"/>
  <c r="W24" i="35"/>
  <c r="S9" i="47"/>
  <c r="X25" i="35"/>
  <c r="T6" i="47"/>
  <c r="S5" i="47"/>
  <c r="W22" i="35"/>
  <c r="W23" i="35"/>
  <c r="S8" i="47"/>
  <c r="Z35" i="32" l="1"/>
  <c r="Z38" i="32" s="1"/>
  <c r="X35" i="32"/>
  <c r="X38" i="32" s="1"/>
  <c r="AC35" i="32"/>
  <c r="AC38" i="32" s="1"/>
  <c r="Y35" i="32"/>
  <c r="Y38" i="32" s="1"/>
  <c r="AA35" i="32"/>
  <c r="AA38" i="32" s="1"/>
  <c r="W31" i="44"/>
  <c r="AD22" i="32" s="1"/>
  <c r="AD34" i="32" s="1"/>
  <c r="W30" i="44"/>
  <c r="W33" i="44" s="1"/>
  <c r="AD24" i="32" s="1"/>
  <c r="AD36" i="32" s="1"/>
  <c r="W32" i="44"/>
  <c r="AD23" i="32" s="1"/>
  <c r="Y5" i="44"/>
  <c r="X28" i="44"/>
  <c r="X34" i="44"/>
  <c r="X35" i="44" s="1"/>
  <c r="X29" i="44"/>
  <c r="X27" i="44"/>
  <c r="X7" i="44"/>
  <c r="X9" i="44"/>
  <c r="X11" i="44"/>
  <c r="X13" i="44"/>
  <c r="X15" i="44"/>
  <c r="X17" i="44"/>
  <c r="X19" i="44"/>
  <c r="X21" i="44"/>
  <c r="X23" i="44"/>
  <c r="X8" i="44"/>
  <c r="X10" i="44"/>
  <c r="X12" i="44"/>
  <c r="X14" i="44"/>
  <c r="X16" i="44"/>
  <c r="X18" i="44"/>
  <c r="X20" i="44"/>
  <c r="X22" i="44"/>
  <c r="X24" i="44"/>
  <c r="AE21" i="32"/>
  <c r="AF21" i="32"/>
  <c r="W25" i="44"/>
  <c r="W26" i="44" s="1"/>
  <c r="AE6" i="35"/>
  <c r="AD45" i="32"/>
  <c r="I32" i="57"/>
  <c r="O87" i="57"/>
  <c r="O90" i="57" s="1"/>
  <c r="N24" i="29"/>
  <c r="N17" i="29"/>
  <c r="N23" i="29" s="1"/>
  <c r="N16" i="29"/>
  <c r="Z37" i="32"/>
  <c r="Z25" i="32"/>
  <c r="Z18" i="32" s="1"/>
  <c r="AD37" i="32"/>
  <c r="G24" i="32"/>
  <c r="G36" i="32" s="1"/>
  <c r="G66" i="32"/>
  <c r="G65" i="32"/>
  <c r="G64" i="32"/>
  <c r="G50" i="32"/>
  <c r="G67" i="32"/>
  <c r="G69" i="32"/>
  <c r="G68" i="32"/>
  <c r="G63" i="32"/>
  <c r="AA37" i="32"/>
  <c r="AA25" i="32"/>
  <c r="AA18" i="32" s="1"/>
  <c r="AH97" i="32"/>
  <c r="AG73" i="32"/>
  <c r="AG80" i="32" s="1"/>
  <c r="AB88" i="53"/>
  <c r="AB77" i="53"/>
  <c r="AB87" i="53"/>
  <c r="AB76" i="53"/>
  <c r="AF32" i="44"/>
  <c r="AB37" i="32"/>
  <c r="G22" i="32"/>
  <c r="G34" i="32" s="1"/>
  <c r="AB25" i="32"/>
  <c r="AB19" i="32" s="1"/>
  <c r="AD22" i="53"/>
  <c r="AD25" i="53" s="1"/>
  <c r="AE4" i="53"/>
  <c r="AD3" i="53"/>
  <c r="AD10" i="53" s="1"/>
  <c r="AD12" i="53" a="1"/>
  <c r="AD12" i="53" s="1"/>
  <c r="AD11" i="53" s="1"/>
  <c r="AD67" i="53"/>
  <c r="AD104" i="53" s="1"/>
  <c r="AD7" i="53"/>
  <c r="AD5" i="53"/>
  <c r="AD6" i="53"/>
  <c r="T38" i="32"/>
  <c r="AB51" i="29"/>
  <c r="S51" i="29"/>
  <c r="P108" i="47" s="1"/>
  <c r="T25" i="32"/>
  <c r="T18" i="32" s="1"/>
  <c r="AF33" i="44"/>
  <c r="AF31" i="44"/>
  <c r="X37" i="32"/>
  <c r="X25" i="32"/>
  <c r="X18" i="32" s="1"/>
  <c r="AC8" i="53"/>
  <c r="AC37" i="32"/>
  <c r="AC25" i="32"/>
  <c r="AC18" i="32" s="1"/>
  <c r="AB38" i="32"/>
  <c r="G23" i="32"/>
  <c r="Y37" i="32"/>
  <c r="Y25" i="32"/>
  <c r="Y18" i="32" s="1"/>
  <c r="Y25" i="35"/>
  <c r="U6" i="47"/>
  <c r="X26" i="35"/>
  <c r="T7" i="47"/>
  <c r="X24" i="35"/>
  <c r="T9" i="47"/>
  <c r="T5" i="47"/>
  <c r="X22" i="35"/>
  <c r="X23" i="35"/>
  <c r="T8" i="47"/>
  <c r="AD35" i="32" l="1"/>
  <c r="AD38" i="32" s="1"/>
  <c r="G35" i="32"/>
  <c r="G38" i="32" s="1"/>
  <c r="AD25" i="32"/>
  <c r="AD18" i="32" s="1"/>
  <c r="S50" i="29"/>
  <c r="P86" i="47" s="1"/>
  <c r="AB50" i="29"/>
  <c r="Y86" i="47" s="1"/>
  <c r="S49" i="29"/>
  <c r="P85" i="47" s="1"/>
  <c r="AB49" i="29"/>
  <c r="Y85" i="47" s="1"/>
  <c r="AE45" i="32"/>
  <c r="X25" i="44"/>
  <c r="X26" i="44" s="1"/>
  <c r="X30" i="44"/>
  <c r="X33" i="44" s="1"/>
  <c r="AE24" i="32" s="1"/>
  <c r="AE36" i="32" s="1"/>
  <c r="X32" i="44"/>
  <c r="AE23" i="32" s="1"/>
  <c r="X31" i="44"/>
  <c r="AE22" i="32" s="1"/>
  <c r="AE34" i="32" s="1"/>
  <c r="AF6" i="35"/>
  <c r="Z5" i="44"/>
  <c r="Y29" i="44"/>
  <c r="Y28" i="44"/>
  <c r="Y34" i="44"/>
  <c r="Y35" i="44" s="1"/>
  <c r="Y27" i="44"/>
  <c r="Y7" i="44"/>
  <c r="AG6" i="35" s="1"/>
  <c r="Y9" i="44"/>
  <c r="Y11" i="44"/>
  <c r="Y13" i="44"/>
  <c r="Y15" i="44"/>
  <c r="Y17" i="44"/>
  <c r="Y19" i="44"/>
  <c r="Y21" i="44"/>
  <c r="Y23" i="44"/>
  <c r="Y8" i="44"/>
  <c r="Y10" i="44"/>
  <c r="Y12" i="44"/>
  <c r="Y14" i="44"/>
  <c r="Y16" i="44"/>
  <c r="Y18" i="44"/>
  <c r="Y20" i="44"/>
  <c r="Y22" i="44"/>
  <c r="Y24" i="44"/>
  <c r="I87" i="57"/>
  <c r="I90" i="57" s="1"/>
  <c r="N22" i="29"/>
  <c r="AB18" i="32"/>
  <c r="Z19" i="32"/>
  <c r="Y17" i="32"/>
  <c r="T17" i="32"/>
  <c r="AC17" i="32"/>
  <c r="AA17" i="32"/>
  <c r="AB17" i="32"/>
  <c r="AD8" i="53"/>
  <c r="G37" i="32"/>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S69" i="32"/>
  <c r="T69" i="32" s="1"/>
  <c r="U69" i="32" s="1"/>
  <c r="V69" i="32" s="1"/>
  <c r="W69" i="32" s="1"/>
  <c r="X69" i="32" s="1"/>
  <c r="Y69" i="32" s="1"/>
  <c r="Z69" i="32" s="1"/>
  <c r="AA69" i="32" s="1"/>
  <c r="AB69" i="32"/>
  <c r="Y19" i="32"/>
  <c r="AG32" i="44"/>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E12" i="53" a="1"/>
  <c r="AE12" i="53" s="1"/>
  <c r="AE11" i="53" s="1"/>
  <c r="AE5" i="53"/>
  <c r="AE3" i="53"/>
  <c r="AE10" i="53" s="1"/>
  <c r="AE67" i="53"/>
  <c r="AE104" i="53" s="1"/>
  <c r="AF4" i="53"/>
  <c r="AE7" i="53"/>
  <c r="AE6" i="53"/>
  <c r="AE22" i="53"/>
  <c r="AE25" i="53" s="1"/>
  <c r="AH73" i="32"/>
  <c r="AH80" i="32" s="1"/>
  <c r="AI97" i="32"/>
  <c r="AG33" i="44"/>
  <c r="AG31" i="44"/>
  <c r="AA19" i="32"/>
  <c r="AC88" i="53"/>
  <c r="AC87" i="53"/>
  <c r="AC77" i="53"/>
  <c r="AC76" i="53"/>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AD19" i="32" l="1"/>
  <c r="AD17" i="32"/>
  <c r="AE35" i="32"/>
  <c r="AE38" i="32" s="1"/>
  <c r="T50" i="29"/>
  <c r="T49" i="29"/>
  <c r="AF45" i="32"/>
  <c r="AE25" i="32"/>
  <c r="AE18" i="32" s="1"/>
  <c r="AE37" i="32"/>
  <c r="Y25" i="44"/>
  <c r="Y26" i="44" s="1"/>
  <c r="Y31" i="44"/>
  <c r="AF22" i="32" s="1"/>
  <c r="AF34" i="32" s="1"/>
  <c r="Y30" i="44"/>
  <c r="Y33" i="44" s="1"/>
  <c r="AF24" i="32" s="1"/>
  <c r="AF36" i="32" s="1"/>
  <c r="Y32" i="44"/>
  <c r="AF23" i="32" s="1"/>
  <c r="AA5" i="44"/>
  <c r="AH21" i="32" s="1"/>
  <c r="Z29" i="44"/>
  <c r="Z34" i="44"/>
  <c r="Z35" i="44" s="1"/>
  <c r="Z28" i="44"/>
  <c r="Z27" i="44"/>
  <c r="Z7" i="44"/>
  <c r="Z9" i="44"/>
  <c r="Z11" i="44"/>
  <c r="Z13" i="44"/>
  <c r="Z15" i="44"/>
  <c r="Z17" i="44"/>
  <c r="Z19" i="44"/>
  <c r="Z21" i="44"/>
  <c r="Z23" i="44"/>
  <c r="Z24" i="44"/>
  <c r="Z8" i="44"/>
  <c r="Z10" i="44"/>
  <c r="Z12" i="44"/>
  <c r="Z14" i="44"/>
  <c r="Z16" i="44"/>
  <c r="Z18" i="44"/>
  <c r="Z20" i="44"/>
  <c r="Z22" i="44"/>
  <c r="AH6" i="35"/>
  <c r="AG21" i="32"/>
  <c r="AE8" i="53"/>
  <c r="AB48" i="29"/>
  <c r="S48" i="29"/>
  <c r="P84" i="47" s="1"/>
  <c r="AD76" i="53"/>
  <c r="AJ97" i="32"/>
  <c r="AI73" i="32"/>
  <c r="AI80" i="32" s="1"/>
  <c r="AD77" i="53"/>
  <c r="AE77" i="53" s="1"/>
  <c r="Q108" i="47"/>
  <c r="U51" i="29"/>
  <c r="AD87" i="53"/>
  <c r="AF3" i="53"/>
  <c r="AF10" i="53" s="1"/>
  <c r="AF22" i="53"/>
  <c r="AF25" i="53" s="1"/>
  <c r="AF7" i="53"/>
  <c r="AF67" i="53"/>
  <c r="AF104" i="53" s="1"/>
  <c r="AF12" i="53" a="1"/>
  <c r="AF12" i="53" s="1"/>
  <c r="AF11" i="53" s="1"/>
  <c r="AF6" i="53"/>
  <c r="AF5" i="53"/>
  <c r="AG4" i="53"/>
  <c r="AD88" i="53"/>
  <c r="AE88" i="53" s="1"/>
  <c r="Z23" i="35"/>
  <c r="V8" i="47"/>
  <c r="V5" i="47"/>
  <c r="Z22" i="35"/>
  <c r="V7" i="47"/>
  <c r="Z26" i="35"/>
  <c r="Z24" i="35"/>
  <c r="V9" i="47"/>
  <c r="W6" i="47"/>
  <c r="AA25" i="35"/>
  <c r="AE17" i="32" l="1"/>
  <c r="AF35" i="32"/>
  <c r="AF38" i="32" s="1"/>
  <c r="AE87" i="53"/>
  <c r="AF87" i="53" s="1"/>
  <c r="AE76" i="53"/>
  <c r="Q86" i="47"/>
  <c r="U50" i="29"/>
  <c r="Q85" i="47"/>
  <c r="U49" i="29"/>
  <c r="Z31" i="44"/>
  <c r="Z30" i="44"/>
  <c r="Z33" i="44" s="1"/>
  <c r="AG24" i="32" s="1"/>
  <c r="AG36" i="32" s="1"/>
  <c r="Z32" i="44"/>
  <c r="AB5" i="44"/>
  <c r="AA28" i="44"/>
  <c r="AA34" i="44"/>
  <c r="AA35" i="44" s="1"/>
  <c r="AA29" i="44"/>
  <c r="AA27" i="44"/>
  <c r="AA7" i="44"/>
  <c r="AA9" i="44"/>
  <c r="AA11" i="44"/>
  <c r="AA13" i="44"/>
  <c r="AA15" i="44"/>
  <c r="AA17" i="44"/>
  <c r="AA19" i="44"/>
  <c r="AA21" i="44"/>
  <c r="AA23" i="44"/>
  <c r="AA24" i="44"/>
  <c r="AA8" i="44"/>
  <c r="AA10" i="44"/>
  <c r="AA12" i="44"/>
  <c r="AA14" i="44"/>
  <c r="AA16" i="44"/>
  <c r="AA18" i="44"/>
  <c r="AA20" i="44"/>
  <c r="AA22" i="44"/>
  <c r="AF37" i="32"/>
  <c r="AF25" i="32"/>
  <c r="AF18" i="32" s="1"/>
  <c r="Z25" i="44"/>
  <c r="Z26" i="44" s="1"/>
  <c r="AE19" i="32"/>
  <c r="AG45" i="32"/>
  <c r="AG23" i="32"/>
  <c r="AG22" i="32"/>
  <c r="AG34" i="32" s="1"/>
  <c r="R108" i="47"/>
  <c r="V51" i="29"/>
  <c r="AF8" i="53"/>
  <c r="AF77" i="53" s="1"/>
  <c r="AF88" i="53"/>
  <c r="AG12" i="53" a="1"/>
  <c r="AG12" i="53" s="1"/>
  <c r="AG11" i="53" s="1"/>
  <c r="AG3" i="53"/>
  <c r="AG10" i="53" s="1"/>
  <c r="AG67" i="53"/>
  <c r="AG104" i="53" s="1"/>
  <c r="AG5" i="53"/>
  <c r="AH4" i="53"/>
  <c r="AG7" i="53"/>
  <c r="AG22" i="53"/>
  <c r="AG25" i="53" s="1"/>
  <c r="AG6" i="53"/>
  <c r="T48" i="29"/>
  <c r="AK97" i="32"/>
  <c r="AJ73" i="32"/>
  <c r="AJ80" i="32" s="1"/>
  <c r="AA24" i="35"/>
  <c r="W9" i="47"/>
  <c r="AA22" i="35"/>
  <c r="W5" i="47"/>
  <c r="AA23" i="35"/>
  <c r="W8" i="47"/>
  <c r="AB25" i="35"/>
  <c r="X6" i="47"/>
  <c r="AA26" i="35"/>
  <c r="W7" i="47"/>
  <c r="AG35" i="32" l="1"/>
  <c r="AG38" i="32" s="1"/>
  <c r="AF76" i="53"/>
  <c r="AG76" i="53" s="1"/>
  <c r="R86" i="47"/>
  <c r="V50" i="29"/>
  <c r="R85" i="47"/>
  <c r="V49" i="29"/>
  <c r="AF17" i="32"/>
  <c r="AH45" i="32"/>
  <c r="AF19" i="32"/>
  <c r="AA25" i="44"/>
  <c r="AA26" i="44" s="1"/>
  <c r="AI6" i="35"/>
  <c r="AA30" i="44"/>
  <c r="AA33" i="44" s="1"/>
  <c r="AH24" i="32" s="1"/>
  <c r="AH36" i="32" s="1"/>
  <c r="AA32" i="44"/>
  <c r="AH23" i="32" s="1"/>
  <c r="AG25" i="32"/>
  <c r="AG18" i="32" s="1"/>
  <c r="AG37" i="32"/>
  <c r="AG17" i="32"/>
  <c r="AA31" i="44"/>
  <c r="AH22" i="32" s="1"/>
  <c r="AH34" i="32" s="1"/>
  <c r="AC5" i="44"/>
  <c r="AB28" i="44"/>
  <c r="AB29" i="44"/>
  <c r="AB34" i="44"/>
  <c r="AB35" i="44" s="1"/>
  <c r="AB27" i="44"/>
  <c r="AB7" i="44"/>
  <c r="AJ6" i="35" s="1"/>
  <c r="AB9" i="44"/>
  <c r="AB11" i="44"/>
  <c r="AB13" i="44"/>
  <c r="AB15" i="44"/>
  <c r="AB17" i="44"/>
  <c r="AB19" i="44"/>
  <c r="AB21" i="44"/>
  <c r="AB23" i="44"/>
  <c r="AB8" i="44"/>
  <c r="AB10" i="44"/>
  <c r="AB12" i="44"/>
  <c r="AB14" i="44"/>
  <c r="AB16" i="44"/>
  <c r="AB18" i="44"/>
  <c r="AB20" i="44"/>
  <c r="AB22" i="44"/>
  <c r="AB24" i="44"/>
  <c r="AI21" i="32"/>
  <c r="AH6" i="53"/>
  <c r="AH22" i="53"/>
  <c r="AH25" i="53" s="1"/>
  <c r="AH67" i="53"/>
  <c r="AH104" i="53" s="1"/>
  <c r="AI4" i="53"/>
  <c r="AH3" i="53"/>
  <c r="AH10" i="53" s="1"/>
  <c r="AH5" i="53"/>
  <c r="AH12" i="53" a="1"/>
  <c r="AH12" i="53" s="1"/>
  <c r="AH11" i="53" s="1"/>
  <c r="AH7" i="53"/>
  <c r="Q84" i="47"/>
  <c r="U48" i="29"/>
  <c r="AG8" i="53"/>
  <c r="AG77" i="53" s="1"/>
  <c r="S108" i="47"/>
  <c r="W51" i="29"/>
  <c r="AK73" i="32"/>
  <c r="AK80" i="32" s="1"/>
  <c r="AL97" i="32"/>
  <c r="AB23" i="35"/>
  <c r="X8" i="47"/>
  <c r="AB26" i="35"/>
  <c r="X7" i="47"/>
  <c r="AC25" i="35"/>
  <c r="Y6" i="47"/>
  <c r="AB22" i="35"/>
  <c r="X5" i="47"/>
  <c r="X9" i="47"/>
  <c r="AB24" i="35"/>
  <c r="AH35" i="32" l="1"/>
  <c r="AH38" i="32" s="1"/>
  <c r="S86" i="47"/>
  <c r="W50" i="29"/>
  <c r="S85" i="47"/>
  <c r="W49" i="29"/>
  <c r="AG19" i="32"/>
  <c r="AD5" i="44"/>
  <c r="AK21" i="32" s="1"/>
  <c r="AC29" i="44"/>
  <c r="AC28" i="44"/>
  <c r="AC34" i="44"/>
  <c r="AC35" i="44" s="1"/>
  <c r="AC27" i="44"/>
  <c r="AC8" i="44"/>
  <c r="AC10" i="44"/>
  <c r="AC12" i="44"/>
  <c r="AC14" i="44"/>
  <c r="AC16" i="44"/>
  <c r="AC18" i="44"/>
  <c r="AC20" i="44"/>
  <c r="AC22" i="44"/>
  <c r="AC24" i="44"/>
  <c r="AC7" i="44"/>
  <c r="AK6" i="35" s="1"/>
  <c r="AC9" i="44"/>
  <c r="AC11" i="44"/>
  <c r="AC13" i="44"/>
  <c r="AC15" i="44"/>
  <c r="AC17" i="44"/>
  <c r="AC19" i="44"/>
  <c r="AC21" i="44"/>
  <c r="AC23" i="44"/>
  <c r="AI45" i="32"/>
  <c r="AH37" i="32"/>
  <c r="AH25" i="32"/>
  <c r="AH18" i="32" s="1"/>
  <c r="AJ21" i="32"/>
  <c r="AB25" i="44"/>
  <c r="AB26" i="44" s="1"/>
  <c r="AB30" i="44"/>
  <c r="AB33" i="44" s="1"/>
  <c r="AI24" i="32" s="1"/>
  <c r="AI36" i="32" s="1"/>
  <c r="AB32" i="44"/>
  <c r="AI23" i="32" s="1"/>
  <c r="AI35" i="32" s="1"/>
  <c r="AB31" i="44"/>
  <c r="AI22" i="32" s="1"/>
  <c r="AI34" i="32" s="1"/>
  <c r="AG88" i="53"/>
  <c r="AG87" i="53"/>
  <c r="AH8" i="53"/>
  <c r="AM97" i="32"/>
  <c r="AL73" i="32"/>
  <c r="AL80" i="32" s="1"/>
  <c r="R84" i="47"/>
  <c r="V48" i="29"/>
  <c r="AJ4" i="53"/>
  <c r="AI5" i="53"/>
  <c r="AI67" i="53"/>
  <c r="AI104" i="53" s="1"/>
  <c r="AI3" i="53"/>
  <c r="AI10" i="53" s="1"/>
  <c r="AI12" i="53" a="1"/>
  <c r="AI12" i="53" s="1"/>
  <c r="AI11" i="53" s="1"/>
  <c r="AI22" i="53"/>
  <c r="AI25" i="53" s="1"/>
  <c r="AI7" i="53"/>
  <c r="AI6" i="53"/>
  <c r="T108" i="47"/>
  <c r="X51" i="29"/>
  <c r="Y9" i="47"/>
  <c r="AC24" i="35"/>
  <c r="AC26" i="35"/>
  <c r="Y7" i="47"/>
  <c r="AD25" i="35"/>
  <c r="Z6" i="47"/>
  <c r="Y5" i="47"/>
  <c r="AC22" i="35"/>
  <c r="AC23" i="35"/>
  <c r="Y8" i="47"/>
  <c r="AH17" i="32" l="1"/>
  <c r="T86" i="47"/>
  <c r="X50" i="29"/>
  <c r="T85" i="47"/>
  <c r="X49" i="29"/>
  <c r="AI37" i="32"/>
  <c r="AI25" i="32"/>
  <c r="AI19" i="32" s="1"/>
  <c r="AI38" i="32"/>
  <c r="AH19" i="32"/>
  <c r="AC25" i="44"/>
  <c r="AC26" i="44" s="1"/>
  <c r="AC31" i="44"/>
  <c r="AJ22" i="32" s="1"/>
  <c r="AJ34" i="32" s="1"/>
  <c r="AC30" i="44"/>
  <c r="AC33" i="44" s="1"/>
  <c r="AJ24" i="32" s="1"/>
  <c r="AJ36" i="32" s="1"/>
  <c r="AC32" i="44"/>
  <c r="AJ45" i="32"/>
  <c r="AJ23" i="32"/>
  <c r="AJ35" i="32" s="1"/>
  <c r="AE5" i="44"/>
  <c r="AD29" i="44"/>
  <c r="AD28" i="44"/>
  <c r="AD34" i="44"/>
  <c r="AD35" i="44" s="1"/>
  <c r="AD27" i="44"/>
  <c r="AD8" i="44"/>
  <c r="AD10" i="44"/>
  <c r="AD12" i="44"/>
  <c r="AD14" i="44"/>
  <c r="AD16" i="44"/>
  <c r="AD18" i="44"/>
  <c r="AD20" i="44"/>
  <c r="AD22" i="44"/>
  <c r="AD24" i="44"/>
  <c r="AD7" i="44"/>
  <c r="AD9" i="44"/>
  <c r="AD11" i="44"/>
  <c r="AD13" i="44"/>
  <c r="AD15" i="44"/>
  <c r="AD17" i="44"/>
  <c r="AD19" i="44"/>
  <c r="AD21" i="44"/>
  <c r="AD23" i="44"/>
  <c r="AN21" i="32"/>
  <c r="AH87" i="53"/>
  <c r="AI8" i="53"/>
  <c r="S84" i="47"/>
  <c r="W48" i="29"/>
  <c r="AH76" i="53"/>
  <c r="AJ3" i="53"/>
  <c r="AJ10" i="53" s="1"/>
  <c r="AJ22" i="53"/>
  <c r="AJ25" i="53" s="1"/>
  <c r="AJ67" i="53"/>
  <c r="AJ104" i="53" s="1"/>
  <c r="AJ6" i="53"/>
  <c r="AJ5" i="53"/>
  <c r="AK4" i="53"/>
  <c r="AJ7" i="53"/>
  <c r="AJ12" i="53" a="1"/>
  <c r="AJ12" i="53" s="1"/>
  <c r="AJ11" i="53" s="1"/>
  <c r="AH77" i="53"/>
  <c r="AI77" i="53" s="1"/>
  <c r="U108" i="47"/>
  <c r="Y51" i="29"/>
  <c r="AN97" i="32"/>
  <c r="AM73" i="32"/>
  <c r="AM80" i="32" s="1"/>
  <c r="AH88" i="53"/>
  <c r="AD26" i="35"/>
  <c r="Z7" i="47"/>
  <c r="AD23" i="35"/>
  <c r="Z8" i="47"/>
  <c r="AE25" i="35"/>
  <c r="AA6" i="47"/>
  <c r="Z5" i="47"/>
  <c r="AD22" i="35"/>
  <c r="AD24" i="35"/>
  <c r="Z9" i="47"/>
  <c r="AI88" i="53" l="1"/>
  <c r="AJ88" i="53" s="1"/>
  <c r="AI76" i="53"/>
  <c r="AJ76" i="53" s="1"/>
  <c r="AI18" i="32"/>
  <c r="AI17" i="32"/>
  <c r="U86" i="47"/>
  <c r="Y50" i="29"/>
  <c r="U85" i="47"/>
  <c r="Y49" i="29"/>
  <c r="AJ37" i="32"/>
  <c r="AJ25" i="32"/>
  <c r="AJ17" i="32" s="1"/>
  <c r="AD25" i="44"/>
  <c r="AD26" i="44" s="1"/>
  <c r="AL6" i="35"/>
  <c r="AD31" i="44"/>
  <c r="AK22" i="32" s="1"/>
  <c r="AK34" i="32" s="1"/>
  <c r="AD30" i="44"/>
  <c r="AD33" i="44" s="1"/>
  <c r="AK24" i="32" s="1"/>
  <c r="AK36" i="32" s="1"/>
  <c r="AD32" i="44"/>
  <c r="AK23" i="32" s="1"/>
  <c r="AE28" i="44"/>
  <c r="AE29" i="44"/>
  <c r="AE27" i="44"/>
  <c r="AE34" i="44"/>
  <c r="AE8" i="44"/>
  <c r="AE10" i="44"/>
  <c r="AE12" i="44"/>
  <c r="AE14" i="44"/>
  <c r="AE16" i="44"/>
  <c r="AE18" i="44"/>
  <c r="AE20" i="44"/>
  <c r="AE22" i="44"/>
  <c r="AE24" i="44"/>
  <c r="AE7" i="44"/>
  <c r="AE9" i="44"/>
  <c r="AE11" i="44"/>
  <c r="AE13" i="44"/>
  <c r="AE15" i="44"/>
  <c r="AE17" i="44"/>
  <c r="AE19" i="44"/>
  <c r="AE21" i="44"/>
  <c r="AE23" i="44"/>
  <c r="Q9" i="55"/>
  <c r="J11" i="57"/>
  <c r="AN9" i="55"/>
  <c r="AK9" i="55"/>
  <c r="X9" i="55"/>
  <c r="AM9" i="55"/>
  <c r="AJ9" i="55"/>
  <c r="Y9" i="55"/>
  <c r="AE9" i="55"/>
  <c r="S9" i="55"/>
  <c r="I3" i="56"/>
  <c r="Z9" i="55"/>
  <c r="AI9" i="55"/>
  <c r="J3" i="56"/>
  <c r="AA9" i="55"/>
  <c r="AF9" i="55"/>
  <c r="V9" i="55"/>
  <c r="AH9" i="55"/>
  <c r="U9" i="55"/>
  <c r="AC9" i="55"/>
  <c r="AL9" i="55"/>
  <c r="AG9" i="55"/>
  <c r="K3" i="56"/>
  <c r="T9" i="55"/>
  <c r="K11" i="57"/>
  <c r="I11" i="57"/>
  <c r="H11" i="57"/>
  <c r="AD9" i="55"/>
  <c r="R9" i="55"/>
  <c r="W9" i="55"/>
  <c r="AB9" i="55"/>
  <c r="L3" i="56"/>
  <c r="AO6" i="35"/>
  <c r="AP6" i="35" s="1"/>
  <c r="O3" i="29"/>
  <c r="AM21" i="32"/>
  <c r="AL21" i="32"/>
  <c r="AM6" i="35"/>
  <c r="P3" i="29"/>
  <c r="AN6" i="35"/>
  <c r="AK45" i="32"/>
  <c r="AN45" i="32"/>
  <c r="AO21" i="32"/>
  <c r="AP21" i="32" s="1"/>
  <c r="AN24" i="32"/>
  <c r="AN36" i="32" s="1"/>
  <c r="AN22" i="32"/>
  <c r="AN34" i="32" s="1"/>
  <c r="AN23" i="32"/>
  <c r="AN35" i="32" s="1"/>
  <c r="AJ38" i="32"/>
  <c r="AJ8" i="53"/>
  <c r="V108" i="47"/>
  <c r="Z51" i="29"/>
  <c r="T84" i="47"/>
  <c r="X48" i="29"/>
  <c r="AO97" i="32"/>
  <c r="AN73" i="32"/>
  <c r="AN80" i="32" s="1"/>
  <c r="AJ77" i="53"/>
  <c r="AL4" i="53"/>
  <c r="AK3" i="53"/>
  <c r="AK10" i="53" s="1"/>
  <c r="AK6" i="53"/>
  <c r="AK7" i="53"/>
  <c r="AK5" i="53"/>
  <c r="AK12" i="53" a="1"/>
  <c r="AK12" i="53" s="1"/>
  <c r="AK11" i="53" s="1"/>
  <c r="AK67" i="53"/>
  <c r="AK104" i="53" s="1"/>
  <c r="AK22" i="53"/>
  <c r="AK25" i="53" s="1"/>
  <c r="AI87" i="53"/>
  <c r="AJ87" i="53" s="1"/>
  <c r="AE23" i="35"/>
  <c r="AA8" i="47"/>
  <c r="AE26" i="35"/>
  <c r="AA7" i="47"/>
  <c r="AF25" i="35"/>
  <c r="AB6" i="47"/>
  <c r="AE24" i="35"/>
  <c r="AA9" i="47"/>
  <c r="AE22" i="35"/>
  <c r="AA5" i="47"/>
  <c r="AJ18" i="32" l="1"/>
  <c r="AJ19" i="32"/>
  <c r="AK35" i="32"/>
  <c r="AK38" i="32" s="1"/>
  <c r="V86" i="47"/>
  <c r="Z50" i="29"/>
  <c r="V85" i="47"/>
  <c r="Z49" i="29"/>
  <c r="AB22" i="55"/>
  <c r="AB230" i="55" s="1"/>
  <c r="AB19" i="55"/>
  <c r="AB192" i="55" s="1"/>
  <c r="AB12" i="55"/>
  <c r="AB112" i="55" s="1"/>
  <c r="AB10" i="55"/>
  <c r="AB70" i="55" s="1"/>
  <c r="AB13" i="55"/>
  <c r="AB133" i="55" s="1"/>
  <c r="AB11" i="55"/>
  <c r="AB91" i="55" s="1"/>
  <c r="AB20" i="55"/>
  <c r="AB21" i="55"/>
  <c r="AB18" i="55"/>
  <c r="AB16" i="55"/>
  <c r="AB14" i="55"/>
  <c r="AB154" i="55" s="1"/>
  <c r="AB17" i="55"/>
  <c r="AB15" i="55"/>
  <c r="W19" i="55"/>
  <c r="W192" i="55" s="1"/>
  <c r="W22" i="55"/>
  <c r="W230" i="55" s="1"/>
  <c r="W10" i="55"/>
  <c r="W70" i="55" s="1"/>
  <c r="W13" i="55"/>
  <c r="W133" i="55" s="1"/>
  <c r="W21" i="55"/>
  <c r="W11" i="55"/>
  <c r="W91" i="55" s="1"/>
  <c r="W20" i="55"/>
  <c r="W12" i="55"/>
  <c r="W112" i="55" s="1"/>
  <c r="W16" i="55"/>
  <c r="W17" i="55"/>
  <c r="W14" i="55"/>
  <c r="W154" i="55" s="1"/>
  <c r="W18" i="55"/>
  <c r="W15" i="55"/>
  <c r="AH20" i="55"/>
  <c r="AH21" i="55"/>
  <c r="AH15" i="55"/>
  <c r="AH18" i="55"/>
  <c r="AH11" i="55"/>
  <c r="AH91" i="55" s="1"/>
  <c r="AH13" i="55"/>
  <c r="AH133" i="55" s="1"/>
  <c r="AH16" i="55"/>
  <c r="AH19" i="55"/>
  <c r="AH192" i="55" s="1"/>
  <c r="AH22" i="55"/>
  <c r="AH230" i="55" s="1"/>
  <c r="AH12" i="55"/>
  <c r="AH112" i="55" s="1"/>
  <c r="AH10" i="55"/>
  <c r="AH70" i="55" s="1"/>
  <c r="AH17" i="55"/>
  <c r="AH14" i="55"/>
  <c r="AH154" i="55" s="1"/>
  <c r="AM12" i="55"/>
  <c r="AM112" i="55" s="1"/>
  <c r="AM13" i="55"/>
  <c r="AM133" i="55" s="1"/>
  <c r="AM16" i="55"/>
  <c r="AM10" i="55"/>
  <c r="AM70" i="55" s="1"/>
  <c r="AM17" i="55"/>
  <c r="AM11" i="55"/>
  <c r="AM91" i="55" s="1"/>
  <c r="AM14" i="55"/>
  <c r="AM154" i="55" s="1"/>
  <c r="AM20" i="55"/>
  <c r="AM21" i="55"/>
  <c r="AM19" i="55"/>
  <c r="AM192" i="55" s="1"/>
  <c r="AM15" i="55"/>
  <c r="AM22" i="55"/>
  <c r="AM230" i="55" s="1"/>
  <c r="AM18" i="55"/>
  <c r="AE35" i="44"/>
  <c r="AF35" i="44"/>
  <c r="AO45" i="32"/>
  <c r="AP45" i="32" s="1"/>
  <c r="I45" i="32"/>
  <c r="R19" i="55"/>
  <c r="R192" i="55" s="1"/>
  <c r="R10" i="55"/>
  <c r="R70" i="55" s="1"/>
  <c r="R22" i="55"/>
  <c r="R230" i="55" s="1"/>
  <c r="R14" i="55"/>
  <c r="R154" i="55" s="1"/>
  <c r="R13" i="55"/>
  <c r="R133" i="55" s="1"/>
  <c r="R12" i="55"/>
  <c r="R112" i="55" s="1"/>
  <c r="R11" i="55"/>
  <c r="R91" i="55" s="1"/>
  <c r="R20" i="55"/>
  <c r="R21" i="55"/>
  <c r="R18" i="55"/>
  <c r="R15" i="55"/>
  <c r="R17" i="55"/>
  <c r="R16" i="55"/>
  <c r="V19" i="55"/>
  <c r="V192" i="55" s="1"/>
  <c r="V22" i="55"/>
  <c r="V230" i="55" s="1"/>
  <c r="V10" i="55"/>
  <c r="V70" i="55" s="1"/>
  <c r="V11" i="55"/>
  <c r="V91" i="55" s="1"/>
  <c r="V21" i="55"/>
  <c r="V12" i="55"/>
  <c r="V112" i="55" s="1"/>
  <c r="V18" i="55"/>
  <c r="V15" i="55"/>
  <c r="V16" i="55"/>
  <c r="V17" i="55"/>
  <c r="V14" i="55"/>
  <c r="V154" i="55" s="1"/>
  <c r="V13" i="55"/>
  <c r="V133" i="55" s="1"/>
  <c r="V20" i="55"/>
  <c r="V211" i="55" s="1"/>
  <c r="X15" i="55"/>
  <c r="X12" i="55"/>
  <c r="X112" i="55" s="1"/>
  <c r="X13" i="55"/>
  <c r="X133" i="55" s="1"/>
  <c r="X19" i="55"/>
  <c r="X192" i="55" s="1"/>
  <c r="X14" i="55"/>
  <c r="X154" i="55" s="1"/>
  <c r="X21" i="55"/>
  <c r="X22" i="55"/>
  <c r="X230" i="55" s="1"/>
  <c r="X20" i="55"/>
  <c r="X10" i="55"/>
  <c r="X70" i="55" s="1"/>
  <c r="X17" i="55"/>
  <c r="X11" i="55"/>
  <c r="X91" i="55" s="1"/>
  <c r="X18" i="55"/>
  <c r="X16" i="55"/>
  <c r="AD13" i="55"/>
  <c r="AD133" i="55" s="1"/>
  <c r="AD19" i="55"/>
  <c r="AD192" i="55" s="1"/>
  <c r="AD18" i="55"/>
  <c r="AD17" i="55"/>
  <c r="AD15" i="55"/>
  <c r="AD21" i="55"/>
  <c r="AD16" i="55"/>
  <c r="AD20" i="55"/>
  <c r="AD10" i="55"/>
  <c r="AD70" i="55" s="1"/>
  <c r="AD22" i="55"/>
  <c r="AD230" i="55" s="1"/>
  <c r="AD11" i="55"/>
  <c r="AD91" i="55" s="1"/>
  <c r="AD12" i="55"/>
  <c r="AD112" i="55" s="1"/>
  <c r="AD14" i="55"/>
  <c r="AD154" i="55" s="1"/>
  <c r="AF19" i="55"/>
  <c r="AF192" i="55" s="1"/>
  <c r="AF22" i="55"/>
  <c r="AF230" i="55" s="1"/>
  <c r="AF20" i="55"/>
  <c r="AF21" i="55"/>
  <c r="AF14" i="55"/>
  <c r="AF154" i="55" s="1"/>
  <c r="AF18" i="55"/>
  <c r="AF17" i="55"/>
  <c r="AF15" i="55"/>
  <c r="AF13" i="55"/>
  <c r="AF133" i="55" s="1"/>
  <c r="AF10" i="55"/>
  <c r="AF70" i="55" s="1"/>
  <c r="AF16" i="55"/>
  <c r="AF11" i="55"/>
  <c r="AF91" i="55" s="1"/>
  <c r="AF12" i="55"/>
  <c r="AF112" i="55" s="1"/>
  <c r="AK13" i="55"/>
  <c r="AK133" i="55" s="1"/>
  <c r="AK22" i="55"/>
  <c r="AK230" i="55" s="1"/>
  <c r="AK16" i="55"/>
  <c r="AK12" i="55"/>
  <c r="AK112" i="55" s="1"/>
  <c r="AK14" i="55"/>
  <c r="AK154" i="55" s="1"/>
  <c r="AK15" i="55"/>
  <c r="AK18" i="55"/>
  <c r="AK17" i="55"/>
  <c r="AK10" i="55"/>
  <c r="AK70" i="55" s="1"/>
  <c r="AK11" i="55"/>
  <c r="AK91" i="55" s="1"/>
  <c r="AK19" i="55"/>
  <c r="AK192" i="55" s="1"/>
  <c r="AK20" i="55"/>
  <c r="AK21" i="55"/>
  <c r="AE25" i="44"/>
  <c r="AE30" i="44"/>
  <c r="AE33" i="44" s="1"/>
  <c r="J15" i="57" s="1"/>
  <c r="AE32" i="44"/>
  <c r="J14" i="57" s="1"/>
  <c r="U19" i="55"/>
  <c r="U192" i="55" s="1"/>
  <c r="U18" i="55"/>
  <c r="U21" i="55"/>
  <c r="U22" i="55"/>
  <c r="U230" i="55" s="1"/>
  <c r="U16" i="55"/>
  <c r="U15" i="55"/>
  <c r="U10" i="55"/>
  <c r="U70" i="55" s="1"/>
  <c r="U12" i="55"/>
  <c r="U112" i="55" s="1"/>
  <c r="U11" i="55"/>
  <c r="U91" i="55" s="1"/>
  <c r="U13" i="55"/>
  <c r="U133" i="55" s="1"/>
  <c r="U14" i="55"/>
  <c r="U154" i="55" s="1"/>
  <c r="U17" i="55"/>
  <c r="U20" i="55"/>
  <c r="H15" i="57"/>
  <c r="H13" i="57"/>
  <c r="H14" i="57"/>
  <c r="AA12" i="55"/>
  <c r="AA112" i="55" s="1"/>
  <c r="AA13" i="55"/>
  <c r="AA133" i="55" s="1"/>
  <c r="AA10" i="55"/>
  <c r="AA70" i="55" s="1"/>
  <c r="AA11" i="55"/>
  <c r="AA91" i="55" s="1"/>
  <c r="AA15" i="55"/>
  <c r="AA22" i="55"/>
  <c r="AA230" i="55" s="1"/>
  <c r="AA14" i="55"/>
  <c r="AA154" i="55" s="1"/>
  <c r="AA17" i="55"/>
  <c r="AA16" i="55"/>
  <c r="AA21" i="55"/>
  <c r="AA19" i="55"/>
  <c r="AA192" i="55" s="1"/>
  <c r="AA18" i="55"/>
  <c r="AA20" i="55"/>
  <c r="AA211" i="55" s="1"/>
  <c r="AO9" i="55"/>
  <c r="AP9" i="55" s="1"/>
  <c r="AN19" i="55"/>
  <c r="AN192" i="55" s="1"/>
  <c r="AN13" i="55"/>
  <c r="AN133" i="55" s="1"/>
  <c r="AN21" i="55"/>
  <c r="AN20" i="55"/>
  <c r="AN22" i="55"/>
  <c r="AN230" i="55" s="1"/>
  <c r="AN10" i="55"/>
  <c r="AN70" i="55" s="1"/>
  <c r="AN11" i="55"/>
  <c r="AN12" i="55"/>
  <c r="AN112" i="55" s="1"/>
  <c r="AN15" i="55"/>
  <c r="AN18" i="55"/>
  <c r="AN16" i="55"/>
  <c r="AN14" i="55"/>
  <c r="AN154" i="55" s="1"/>
  <c r="AN17" i="55"/>
  <c r="AE31" i="44"/>
  <c r="J13" i="57" s="1"/>
  <c r="P5" i="29"/>
  <c r="P28" i="29"/>
  <c r="I14" i="57"/>
  <c r="I15" i="57"/>
  <c r="I13" i="57"/>
  <c r="J7" i="56"/>
  <c r="J8" i="56"/>
  <c r="P8" i="56" s="1"/>
  <c r="V8" i="56" s="1"/>
  <c r="J9" i="56"/>
  <c r="P9" i="56" s="1"/>
  <c r="V9" i="56" s="1"/>
  <c r="K13" i="57"/>
  <c r="K15" i="57"/>
  <c r="K14" i="57"/>
  <c r="AI20" i="55"/>
  <c r="AI12" i="55"/>
  <c r="AI112" i="55" s="1"/>
  <c r="AI14" i="55"/>
  <c r="AI154" i="55" s="1"/>
  <c r="AI22" i="55"/>
  <c r="AI230" i="55" s="1"/>
  <c r="AI13" i="55"/>
  <c r="AI133" i="55" s="1"/>
  <c r="AI19" i="55"/>
  <c r="AI192" i="55" s="1"/>
  <c r="AI10" i="55"/>
  <c r="AI70" i="55" s="1"/>
  <c r="AI11" i="55"/>
  <c r="AI91" i="55" s="1"/>
  <c r="AI15" i="55"/>
  <c r="AI16" i="55"/>
  <c r="AI18" i="55"/>
  <c r="AI21" i="55"/>
  <c r="AI17" i="55"/>
  <c r="Q22" i="55"/>
  <c r="Q10" i="55"/>
  <c r="Q18" i="55"/>
  <c r="Q34" i="55" s="1"/>
  <c r="Q13" i="55"/>
  <c r="Q17" i="55"/>
  <c r="Q33" i="55" s="1"/>
  <c r="Q14" i="55"/>
  <c r="Q15" i="55"/>
  <c r="Q16" i="55"/>
  <c r="Q32" i="55" s="1"/>
  <c r="Q11" i="55"/>
  <c r="Q21" i="55"/>
  <c r="Q37" i="55" s="1"/>
  <c r="Q20" i="55"/>
  <c r="Q12" i="55"/>
  <c r="Q112" i="55" s="1"/>
  <c r="Q19" i="55"/>
  <c r="AJ19" i="55"/>
  <c r="AJ192" i="55" s="1"/>
  <c r="AJ11" i="55"/>
  <c r="AJ91" i="55" s="1"/>
  <c r="AJ12" i="55"/>
  <c r="AJ112" i="55" s="1"/>
  <c r="AJ13" i="55"/>
  <c r="AJ133" i="55" s="1"/>
  <c r="AJ22" i="55"/>
  <c r="AJ230" i="55" s="1"/>
  <c r="AJ14" i="55"/>
  <c r="AJ154" i="55" s="1"/>
  <c r="AJ17" i="55"/>
  <c r="AJ21" i="55"/>
  <c r="AJ20" i="55"/>
  <c r="AJ16" i="55"/>
  <c r="AJ10" i="55"/>
  <c r="AJ70" i="55" s="1"/>
  <c r="AJ18" i="55"/>
  <c r="AJ15" i="55"/>
  <c r="AL45" i="32"/>
  <c r="H45" i="32" s="1"/>
  <c r="AL24" i="32"/>
  <c r="AL36" i="32" s="1"/>
  <c r="T13" i="55"/>
  <c r="T133" i="55" s="1"/>
  <c r="T12" i="55"/>
  <c r="T112" i="55" s="1"/>
  <c r="T19" i="55"/>
  <c r="T192" i="55" s="1"/>
  <c r="T21" i="55"/>
  <c r="T14" i="55"/>
  <c r="T154" i="55" s="1"/>
  <c r="T20" i="55"/>
  <c r="T18" i="55"/>
  <c r="T17" i="55"/>
  <c r="T16" i="55"/>
  <c r="T22" i="55"/>
  <c r="T230" i="55" s="1"/>
  <c r="T15" i="55"/>
  <c r="T10" i="55"/>
  <c r="T70" i="55" s="1"/>
  <c r="T11" i="55"/>
  <c r="T91" i="55" s="1"/>
  <c r="Z13" i="55"/>
  <c r="Z133" i="55" s="1"/>
  <c r="Z14" i="55"/>
  <c r="Z154" i="55" s="1"/>
  <c r="Z12" i="55"/>
  <c r="Z112" i="55" s="1"/>
  <c r="Z20" i="55"/>
  <c r="Z22" i="55"/>
  <c r="Z230" i="55" s="1"/>
  <c r="Z16" i="55"/>
  <c r="Z10" i="55"/>
  <c r="Z70" i="55" s="1"/>
  <c r="Z17" i="55"/>
  <c r="Z11" i="55"/>
  <c r="Z91" i="55" s="1"/>
  <c r="Z15" i="55"/>
  <c r="Z18" i="55"/>
  <c r="Z19" i="55"/>
  <c r="Z192" i="55" s="1"/>
  <c r="Z21" i="55"/>
  <c r="AK25" i="32"/>
  <c r="AK18" i="32" s="1"/>
  <c r="AK37" i="32"/>
  <c r="AM45" i="32"/>
  <c r="AM23" i="32"/>
  <c r="AM22" i="32"/>
  <c r="AM34" i="32" s="1"/>
  <c r="AM24" i="32"/>
  <c r="AM36" i="32" s="1"/>
  <c r="K7" i="56"/>
  <c r="K8" i="56"/>
  <c r="Q8" i="56" s="1"/>
  <c r="W8" i="56" s="1"/>
  <c r="K9" i="56"/>
  <c r="Q9" i="56" s="1"/>
  <c r="W9" i="56" s="1"/>
  <c r="I7" i="56"/>
  <c r="I8" i="56"/>
  <c r="I9" i="56"/>
  <c r="O9" i="56" s="1"/>
  <c r="U9" i="56" s="1"/>
  <c r="I24" i="32"/>
  <c r="I36" i="32" s="1"/>
  <c r="AO24" i="32"/>
  <c r="AO36" i="32" s="1"/>
  <c r="O5" i="29"/>
  <c r="O28" i="29"/>
  <c r="O36" i="29" s="1"/>
  <c r="AG19" i="55"/>
  <c r="AG192" i="55" s="1"/>
  <c r="AG14" i="55"/>
  <c r="AG154" i="55" s="1"/>
  <c r="AG22" i="55"/>
  <c r="AG230" i="55" s="1"/>
  <c r="AG20" i="55"/>
  <c r="AG21" i="55"/>
  <c r="AG12" i="55"/>
  <c r="AG112" i="55" s="1"/>
  <c r="AG16" i="55"/>
  <c r="AG17" i="55"/>
  <c r="AG10" i="55"/>
  <c r="AG70" i="55" s="1"/>
  <c r="AG18" i="55"/>
  <c r="AG13" i="55"/>
  <c r="AG133" i="55" s="1"/>
  <c r="AG11" i="55"/>
  <c r="AG91" i="55" s="1"/>
  <c r="AG15" i="55"/>
  <c r="S19" i="55"/>
  <c r="S192" i="55" s="1"/>
  <c r="S12" i="55"/>
  <c r="S22" i="55"/>
  <c r="S230" i="55" s="1"/>
  <c r="S10" i="55"/>
  <c r="S70" i="55" s="1"/>
  <c r="S13" i="55"/>
  <c r="S133" i="55" s="1"/>
  <c r="S11" i="55"/>
  <c r="S91" i="55" s="1"/>
  <c r="S20" i="55"/>
  <c r="S21" i="55"/>
  <c r="S16" i="55"/>
  <c r="S18" i="55"/>
  <c r="S17" i="55"/>
  <c r="S14" i="55"/>
  <c r="S154" i="55" s="1"/>
  <c r="S15" i="55"/>
  <c r="AO23" i="32"/>
  <c r="AO35" i="32" s="1"/>
  <c r="I23" i="32"/>
  <c r="AN38" i="32"/>
  <c r="AL14" i="55"/>
  <c r="AL10" i="55"/>
  <c r="AL22" i="55"/>
  <c r="AL19" i="55"/>
  <c r="AL11" i="55"/>
  <c r="AL13" i="55"/>
  <c r="AL12" i="55"/>
  <c r="AL17" i="55"/>
  <c r="AL16" i="55"/>
  <c r="AL18" i="55"/>
  <c r="AL21" i="55"/>
  <c r="AL15" i="55"/>
  <c r="AL20" i="55"/>
  <c r="AE14" i="55"/>
  <c r="AE154" i="55" s="1"/>
  <c r="AE19" i="55"/>
  <c r="AE192" i="55" s="1"/>
  <c r="AE21" i="55"/>
  <c r="AE20" i="55"/>
  <c r="AE13" i="55"/>
  <c r="AE133" i="55" s="1"/>
  <c r="AE16" i="55"/>
  <c r="AE17" i="55"/>
  <c r="AE10" i="55"/>
  <c r="AE70" i="55" s="1"/>
  <c r="AE15" i="55"/>
  <c r="AE11" i="55"/>
  <c r="AE91" i="55" s="1"/>
  <c r="AE18" i="55"/>
  <c r="AE22" i="55"/>
  <c r="AE230" i="55" s="1"/>
  <c r="AE12" i="55"/>
  <c r="AE112" i="55" s="1"/>
  <c r="AN25" i="32"/>
  <c r="AN19" i="32" s="1"/>
  <c r="I22" i="32"/>
  <c r="I34" i="32" s="1"/>
  <c r="AO22" i="32"/>
  <c r="AO34" i="32" s="1"/>
  <c r="AN37" i="32"/>
  <c r="L8" i="56"/>
  <c r="R8" i="56" s="1"/>
  <c r="X8" i="56" s="1"/>
  <c r="L7" i="56"/>
  <c r="L9" i="56"/>
  <c r="R9" i="56" s="1"/>
  <c r="X9" i="56" s="1"/>
  <c r="AC19" i="55"/>
  <c r="AC192" i="55" s="1"/>
  <c r="AC15" i="55"/>
  <c r="AC18" i="55"/>
  <c r="AC13" i="55"/>
  <c r="AC133" i="55" s="1"/>
  <c r="AC21" i="55"/>
  <c r="AC20" i="55"/>
  <c r="AC211" i="55" s="1"/>
  <c r="AC22" i="55"/>
  <c r="AC230" i="55" s="1"/>
  <c r="AC12" i="55"/>
  <c r="AC112" i="55" s="1"/>
  <c r="AC10" i="55"/>
  <c r="AC70" i="55" s="1"/>
  <c r="AC14" i="55"/>
  <c r="AC154" i="55" s="1"/>
  <c r="AC16" i="55"/>
  <c r="AC11" i="55"/>
  <c r="AC91" i="55" s="1"/>
  <c r="AC17" i="55"/>
  <c r="Y10" i="55"/>
  <c r="Y70" i="55" s="1"/>
  <c r="Y11" i="55"/>
  <c r="Y91" i="55" s="1"/>
  <c r="Y14" i="55"/>
  <c r="Y154" i="55" s="1"/>
  <c r="Y15" i="55"/>
  <c r="Y12" i="55"/>
  <c r="Y112" i="55" s="1"/>
  <c r="Y16" i="55"/>
  <c r="Y22" i="55"/>
  <c r="Y230" i="55" s="1"/>
  <c r="Y17" i="55"/>
  <c r="Y18" i="55"/>
  <c r="Y19" i="55"/>
  <c r="Y192" i="55" s="1"/>
  <c r="Y13" i="55"/>
  <c r="Y133" i="55" s="1"/>
  <c r="Y20" i="55"/>
  <c r="Y21" i="55"/>
  <c r="W108" i="47"/>
  <c r="AA51" i="29"/>
  <c r="AK8" i="53"/>
  <c r="AK76" i="53" s="1"/>
  <c r="AP97" i="32"/>
  <c r="AP73" i="32" s="1"/>
  <c r="AP80" i="32" s="1"/>
  <c r="AO73" i="32"/>
  <c r="AO80" i="32" s="1"/>
  <c r="U84" i="47"/>
  <c r="Y48" i="29"/>
  <c r="AM4" i="53"/>
  <c r="AL3" i="53"/>
  <c r="AL10" i="53" s="1"/>
  <c r="AL7" i="53"/>
  <c r="AL6" i="53"/>
  <c r="AL12" i="53" a="1"/>
  <c r="AL12" i="53" s="1"/>
  <c r="AL11" i="53" s="1"/>
  <c r="AL5" i="53"/>
  <c r="AL22" i="53"/>
  <c r="AL25" i="53" s="1"/>
  <c r="AL67" i="53"/>
  <c r="AL104" i="53" s="1"/>
  <c r="AB5" i="47"/>
  <c r="AF22" i="35"/>
  <c r="AG25" i="35"/>
  <c r="AC6" i="47"/>
  <c r="AB8" i="47"/>
  <c r="AF23" i="35"/>
  <c r="AB7" i="47"/>
  <c r="AF26" i="35"/>
  <c r="AF24" i="35"/>
  <c r="AB9" i="47"/>
  <c r="I35" i="32" l="1"/>
  <c r="I38" i="32" s="1"/>
  <c r="AM35" i="32"/>
  <c r="AM38" i="32" s="1"/>
  <c r="AN18" i="32"/>
  <c r="AK211" i="55"/>
  <c r="W86" i="47"/>
  <c r="AA50" i="29"/>
  <c r="X86" i="47" s="1"/>
  <c r="R173" i="55"/>
  <c r="AB211" i="55"/>
  <c r="AH173" i="55"/>
  <c r="AF211" i="55"/>
  <c r="AO17" i="55"/>
  <c r="T211" i="55"/>
  <c r="AL51" i="29"/>
  <c r="AC51" i="29"/>
  <c r="Z108" i="47" s="1"/>
  <c r="W85" i="47"/>
  <c r="AA49" i="29"/>
  <c r="X85" i="47" s="1"/>
  <c r="X108" i="47"/>
  <c r="Y108" i="47"/>
  <c r="AI211" i="55"/>
  <c r="V173" i="55"/>
  <c r="S211" i="55"/>
  <c r="AK173" i="55"/>
  <c r="AP21" i="55"/>
  <c r="AJ173" i="55"/>
  <c r="AL173" i="55"/>
  <c r="AP15" i="55"/>
  <c r="AO15" i="55"/>
  <c r="O8" i="56"/>
  <c r="U8" i="56" s="1"/>
  <c r="I104" i="56"/>
  <c r="R37" i="55"/>
  <c r="N134" i="47"/>
  <c r="Q15" i="57"/>
  <c r="W15" i="57"/>
  <c r="K101" i="57"/>
  <c r="K86" i="57"/>
  <c r="U173" i="55"/>
  <c r="X173" i="55"/>
  <c r="AM211" i="55"/>
  <c r="Q14" i="57"/>
  <c r="W14" i="57"/>
  <c r="K97" i="57"/>
  <c r="K108" i="57"/>
  <c r="K81" i="57"/>
  <c r="AC173" i="55"/>
  <c r="Y211" i="55"/>
  <c r="H47" i="57"/>
  <c r="H49" i="57" s="1"/>
  <c r="H50" i="57" s="1"/>
  <c r="G47" i="57"/>
  <c r="G49" i="57" s="1"/>
  <c r="G50" i="57" s="1"/>
  <c r="O7" i="56"/>
  <c r="I60" i="56"/>
  <c r="J60" i="56" s="1"/>
  <c r="I43" i="56"/>
  <c r="I48" i="56"/>
  <c r="Q91" i="55"/>
  <c r="Q27" i="55"/>
  <c r="K16" i="57"/>
  <c r="W13" i="57"/>
  <c r="Q13" i="57"/>
  <c r="K75" i="57"/>
  <c r="K107" i="57"/>
  <c r="K93" i="57"/>
  <c r="AL211" i="55"/>
  <c r="AP20" i="55"/>
  <c r="AP211" i="55" s="1"/>
  <c r="Q36" i="55"/>
  <c r="Q211" i="55"/>
  <c r="AE173" i="55"/>
  <c r="AP18" i="55"/>
  <c r="AO18" i="55"/>
  <c r="AG211" i="55"/>
  <c r="AL23" i="32"/>
  <c r="AL35" i="32" s="1"/>
  <c r="R32" i="55"/>
  <c r="N131" i="47"/>
  <c r="AI173" i="55"/>
  <c r="T14" i="57"/>
  <c r="N14" i="57"/>
  <c r="H108" i="57"/>
  <c r="H81" i="57"/>
  <c r="H97" i="57"/>
  <c r="R7" i="56"/>
  <c r="K47" i="57"/>
  <c r="AO16" i="55"/>
  <c r="AP16" i="55"/>
  <c r="AO38" i="32"/>
  <c r="AP23" i="32"/>
  <c r="AP35" i="32" s="1"/>
  <c r="S112" i="55"/>
  <c r="S28" i="55"/>
  <c r="Z173" i="55"/>
  <c r="T173" i="55"/>
  <c r="H24" i="32"/>
  <c r="H36" i="32" s="1"/>
  <c r="Q173" i="55"/>
  <c r="Q31" i="55"/>
  <c r="AN173" i="55"/>
  <c r="N13" i="57"/>
  <c r="H16" i="57"/>
  <c r="T13" i="57"/>
  <c r="H107" i="57"/>
  <c r="H93" i="57"/>
  <c r="H75" i="57"/>
  <c r="AF173" i="55"/>
  <c r="K21" i="57"/>
  <c r="I46" i="32"/>
  <c r="H46" i="32" s="1"/>
  <c r="I66" i="32"/>
  <c r="I68" i="32"/>
  <c r="I69" i="32"/>
  <c r="I67" i="32"/>
  <c r="I64" i="32"/>
  <c r="I65" i="32"/>
  <c r="I50" i="32"/>
  <c r="I63" i="32"/>
  <c r="W211" i="55"/>
  <c r="S173" i="55"/>
  <c r="J47" i="57"/>
  <c r="Q7" i="56"/>
  <c r="AL22" i="32"/>
  <c r="AL34" i="32" s="1"/>
  <c r="Q154" i="55"/>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I47" i="57"/>
  <c r="P7" i="56"/>
  <c r="H86" i="57"/>
  <c r="T15" i="57"/>
  <c r="H101" i="57"/>
  <c r="N15" i="57"/>
  <c r="H109" i="57"/>
  <c r="AD211" i="55"/>
  <c r="AP17" i="55"/>
  <c r="AN17" i="32"/>
  <c r="AL112" i="55"/>
  <c r="AO12" i="55"/>
  <c r="AO112" i="55" s="1"/>
  <c r="AP12" i="55"/>
  <c r="AP112" i="55" s="1"/>
  <c r="AG173" i="55"/>
  <c r="J21" i="57"/>
  <c r="P32" i="57" s="1"/>
  <c r="H63" i="32"/>
  <c r="H64" i="32"/>
  <c r="H68" i="32"/>
  <c r="H69" i="32"/>
  <c r="H65" i="32"/>
  <c r="H66" i="32"/>
  <c r="H67" i="32"/>
  <c r="H50" i="32"/>
  <c r="R33" i="55"/>
  <c r="N130" i="47"/>
  <c r="I75" i="57"/>
  <c r="I107" i="57"/>
  <c r="O13" i="57"/>
  <c r="I16" i="57"/>
  <c r="U13" i="57"/>
  <c r="I93" i="57"/>
  <c r="AO11" i="55"/>
  <c r="AO91" i="55" s="1"/>
  <c r="AN91" i="55"/>
  <c r="U211" i="55"/>
  <c r="X211" i="55"/>
  <c r="AL133" i="55"/>
  <c r="AP13" i="55"/>
  <c r="AP133" i="55" s="1"/>
  <c r="AO13" i="55"/>
  <c r="AO133" i="55" s="1"/>
  <c r="AM37" i="32"/>
  <c r="AM25" i="32"/>
  <c r="AM18" i="32" s="1"/>
  <c r="Q13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U15" i="57"/>
  <c r="I101" i="57"/>
  <c r="I86" i="57"/>
  <c r="O15" i="57"/>
  <c r="I109" i="57"/>
  <c r="V14" i="57"/>
  <c r="P14" i="57"/>
  <c r="J108" i="57"/>
  <c r="J97" i="57"/>
  <c r="J81" i="57"/>
  <c r="AL154" i="55"/>
  <c r="AO14" i="55"/>
  <c r="AO154" i="55" s="1"/>
  <c r="AP14" i="55"/>
  <c r="AP154" i="55" s="1"/>
  <c r="AO37" i="32"/>
  <c r="AO25" i="32"/>
  <c r="AO17" i="32" s="1"/>
  <c r="AP22" i="32"/>
  <c r="AP34" i="32" s="1"/>
  <c r="AE211" i="55"/>
  <c r="AL91" i="55"/>
  <c r="AP11" i="55"/>
  <c r="AP91" i="55" s="1"/>
  <c r="O18" i="29"/>
  <c r="O17" i="29"/>
  <c r="O16" i="29"/>
  <c r="AK19" i="32"/>
  <c r="R34" i="55"/>
  <c r="N128" i="47"/>
  <c r="U14" i="57"/>
  <c r="O14" i="57"/>
  <c r="I81" i="57"/>
  <c r="I108" i="57"/>
  <c r="I97" i="57"/>
  <c r="V15" i="57"/>
  <c r="P15" i="57"/>
  <c r="J101" i="57"/>
  <c r="J86" i="57"/>
  <c r="AD173" i="55"/>
  <c r="R211" i="55"/>
  <c r="I37" i="32"/>
  <c r="I25" i="32"/>
  <c r="I31" i="32" s="1"/>
  <c r="AL192" i="55"/>
  <c r="AO19" i="55"/>
  <c r="AO192" i="55" s="1"/>
  <c r="AP19" i="55"/>
  <c r="AP192" i="55" s="1"/>
  <c r="AP24" i="32"/>
  <c r="AP36" i="32" s="1"/>
  <c r="Q70"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P36" i="29"/>
  <c r="AO20" i="55"/>
  <c r="AN211" i="55"/>
  <c r="AE26" i="44"/>
  <c r="AF26" i="44"/>
  <c r="AH211" i="55"/>
  <c r="Y173" i="55"/>
  <c r="AL230" i="55"/>
  <c r="AP22" i="55"/>
  <c r="AP230" i="55" s="1"/>
  <c r="AO22" i="55"/>
  <c r="AO230" i="55" s="1"/>
  <c r="AK17" i="32"/>
  <c r="Z211" i="55"/>
  <c r="Q19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230" i="55"/>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A173" i="55"/>
  <c r="AM173" i="55"/>
  <c r="W173" i="55"/>
  <c r="AL70" i="55"/>
  <c r="AP10" i="55"/>
  <c r="AP70" i="55" s="1"/>
  <c r="AO10" i="55"/>
  <c r="AO70" i="55" s="1"/>
  <c r="AJ211" i="55"/>
  <c r="Q125" i="55"/>
  <c r="R125" i="55" s="1"/>
  <c r="Q131" i="55"/>
  <c r="R131" i="55" s="1"/>
  <c r="Q132" i="55"/>
  <c r="R132" i="55" s="1"/>
  <c r="Q114" i="55"/>
  <c r="R114" i="55" s="1"/>
  <c r="Q117" i="55"/>
  <c r="R117" i="55" s="1"/>
  <c r="Q120" i="55"/>
  <c r="R120" i="55" s="1"/>
  <c r="Q121" i="55"/>
  <c r="R121" i="55" s="1"/>
  <c r="Q128" i="55"/>
  <c r="R128" i="55" s="1"/>
  <c r="Q115" i="55"/>
  <c r="R115" i="55" s="1"/>
  <c r="Q126" i="55"/>
  <c r="R126" i="55" s="1"/>
  <c r="Q129" i="55"/>
  <c r="R129" i="55" s="1"/>
  <c r="Q123" i="55"/>
  <c r="R123" i="55" s="1"/>
  <c r="Q116" i="55"/>
  <c r="R116" i="55" s="1"/>
  <c r="Q127" i="55"/>
  <c r="R127" i="55" s="1"/>
  <c r="Q122" i="55"/>
  <c r="R122" i="55" s="1"/>
  <c r="Q119" i="55"/>
  <c r="R119" i="55" s="1"/>
  <c r="Q130" i="55"/>
  <c r="R130" i="55" s="1"/>
  <c r="Q118" i="55"/>
  <c r="R118" i="55" s="1"/>
  <c r="Q124" i="55"/>
  <c r="R124" i="55" s="1"/>
  <c r="Q113" i="55"/>
  <c r="R113" i="55" s="1"/>
  <c r="J93" i="57"/>
  <c r="J75" i="57"/>
  <c r="J107" i="57"/>
  <c r="P13" i="57"/>
  <c r="J16" i="57"/>
  <c r="V13" i="57"/>
  <c r="AB173" i="55"/>
  <c r="AL8" i="53"/>
  <c r="AL76" i="53" s="1"/>
  <c r="AK77" i="53"/>
  <c r="AK87" i="53"/>
  <c r="AM7" i="53"/>
  <c r="AM22" i="53"/>
  <c r="AM25" i="53" s="1"/>
  <c r="AN4" i="53"/>
  <c r="AM67" i="53"/>
  <c r="AM104" i="53" s="1"/>
  <c r="AM5" i="53"/>
  <c r="AM3" i="53"/>
  <c r="AM6" i="53"/>
  <c r="AM12" i="53" a="1"/>
  <c r="AM12" i="53" s="1"/>
  <c r="AM11" i="53" s="1"/>
  <c r="AK88" i="53"/>
  <c r="V84" i="47"/>
  <c r="Z48" i="29"/>
  <c r="AC8" i="47"/>
  <c r="AG23" i="35"/>
  <c r="AC9" i="47"/>
  <c r="AG24" i="35"/>
  <c r="AH25" i="35"/>
  <c r="AD6" i="47"/>
  <c r="AG26" i="35"/>
  <c r="AC7" i="47"/>
  <c r="AG22" i="35"/>
  <c r="AC5" i="47"/>
  <c r="S171" i="56" l="1"/>
  <c r="Q171" i="56"/>
  <c r="R171" i="56" s="1"/>
  <c r="AO35" i="55"/>
  <c r="AP35" i="55" s="1"/>
  <c r="AD51" i="29"/>
  <c r="Q123" i="56"/>
  <c r="P144" i="56" s="1"/>
  <c r="L99" i="47" s="1"/>
  <c r="S123" i="56"/>
  <c r="R144" i="56" s="1"/>
  <c r="S183" i="56" s="1"/>
  <c r="AO29" i="55"/>
  <c r="AP29" i="55" s="1"/>
  <c r="I49" i="57"/>
  <c r="I50" i="57" s="1"/>
  <c r="I51" i="57" s="1"/>
  <c r="S126" i="55"/>
  <c r="T126" i="55" s="1"/>
  <c r="U126" i="55" s="1"/>
  <c r="V126" i="55" s="1"/>
  <c r="W126" i="55" s="1"/>
  <c r="X126" i="55" s="1"/>
  <c r="Y126" i="55" s="1"/>
  <c r="Z126" i="55" s="1"/>
  <c r="AA126" i="55" s="1"/>
  <c r="AB126" i="55" s="1"/>
  <c r="AC126" i="55" s="1"/>
  <c r="AD126" i="55" s="1"/>
  <c r="AE126" i="55" s="1"/>
  <c r="AF126" i="55" s="1"/>
  <c r="AG126" i="55" s="1"/>
  <c r="AH126" i="55" s="1"/>
  <c r="AI126" i="55" s="1"/>
  <c r="AJ126" i="55" s="1"/>
  <c r="AK126" i="55" s="1"/>
  <c r="AL126" i="55" s="1"/>
  <c r="AM126" i="55" s="1"/>
  <c r="AN126" i="55" s="1"/>
  <c r="AO126" i="55" s="1"/>
  <c r="AP126" i="55" s="1"/>
  <c r="S124" i="55"/>
  <c r="T124" i="55" s="1"/>
  <c r="U124" i="55" s="1"/>
  <c r="V124" i="55" s="1"/>
  <c r="W124" i="55" s="1"/>
  <c r="X124" i="55" s="1"/>
  <c r="Y124" i="55" s="1"/>
  <c r="Z124" i="55" s="1"/>
  <c r="AA124" i="55" s="1"/>
  <c r="AB124" i="55" s="1"/>
  <c r="AC124" i="55" s="1"/>
  <c r="AD124" i="55" s="1"/>
  <c r="AE124" i="55" s="1"/>
  <c r="AF124" i="55" s="1"/>
  <c r="AG124" i="55" s="1"/>
  <c r="AH124" i="55" s="1"/>
  <c r="AI124" i="55" s="1"/>
  <c r="AJ124" i="55" s="1"/>
  <c r="AK124" i="55" s="1"/>
  <c r="AL124" i="55" s="1"/>
  <c r="AM124" i="55" s="1"/>
  <c r="AN124" i="55" s="1"/>
  <c r="AO124" i="55" s="1"/>
  <c r="AP124" i="55" s="1"/>
  <c r="S121" i="55"/>
  <c r="T121" i="55" s="1"/>
  <c r="U121" i="55" s="1"/>
  <c r="V121" i="55" s="1"/>
  <c r="W121" i="55" s="1"/>
  <c r="X121" i="55" s="1"/>
  <c r="Y121" i="55" s="1"/>
  <c r="Z121" i="55" s="1"/>
  <c r="AA121" i="55" s="1"/>
  <c r="AB121" i="55" s="1"/>
  <c r="AC121" i="55" s="1"/>
  <c r="AD121" i="55" s="1"/>
  <c r="AE121" i="55" s="1"/>
  <c r="AF121" i="55" s="1"/>
  <c r="AG121" i="55" s="1"/>
  <c r="AH121" i="55" s="1"/>
  <c r="AI121" i="55" s="1"/>
  <c r="AJ121" i="55" s="1"/>
  <c r="AK121" i="55" s="1"/>
  <c r="AL121" i="55" s="1"/>
  <c r="AM121" i="55" s="1"/>
  <c r="AN121" i="55" s="1"/>
  <c r="AO121" i="55" s="1"/>
  <c r="AP121" i="55" s="1"/>
  <c r="S123" i="55"/>
  <c r="T123" i="55" s="1"/>
  <c r="U123" i="55" s="1"/>
  <c r="V123" i="55" s="1"/>
  <c r="W123" i="55" s="1"/>
  <c r="X123" i="55" s="1"/>
  <c r="Y123" i="55" s="1"/>
  <c r="Z123" i="55" s="1"/>
  <c r="AA123" i="55" s="1"/>
  <c r="AB123" i="55" s="1"/>
  <c r="AC123" i="55" s="1"/>
  <c r="AD123" i="55" s="1"/>
  <c r="AE123" i="55" s="1"/>
  <c r="AF123" i="55" s="1"/>
  <c r="AG123" i="55" s="1"/>
  <c r="AH123" i="55" s="1"/>
  <c r="AI123" i="55" s="1"/>
  <c r="AJ123" i="55" s="1"/>
  <c r="AK123" i="55" s="1"/>
  <c r="AL123" i="55" s="1"/>
  <c r="AM123" i="55" s="1"/>
  <c r="AN123" i="55" s="1"/>
  <c r="AO123" i="55" s="1"/>
  <c r="AP123" i="55" s="1"/>
  <c r="S129" i="55"/>
  <c r="T129" i="55" s="1"/>
  <c r="U129" i="55" s="1"/>
  <c r="V129" i="55" s="1"/>
  <c r="W129" i="55" s="1"/>
  <c r="X129" i="55" s="1"/>
  <c r="Y129" i="55" s="1"/>
  <c r="Z129" i="55" s="1"/>
  <c r="AA129" i="55" s="1"/>
  <c r="AB129" i="55" s="1"/>
  <c r="AC129" i="55" s="1"/>
  <c r="AD129" i="55" s="1"/>
  <c r="AE129" i="55" s="1"/>
  <c r="AF129" i="55" s="1"/>
  <c r="AG129" i="55" s="1"/>
  <c r="AH129" i="55" s="1"/>
  <c r="AI129" i="55" s="1"/>
  <c r="AJ129" i="55" s="1"/>
  <c r="AK129" i="55" s="1"/>
  <c r="AL129" i="55" s="1"/>
  <c r="AM129" i="55" s="1"/>
  <c r="AN129" i="55" s="1"/>
  <c r="AO129" i="55" s="1"/>
  <c r="AP129" i="55" s="1"/>
  <c r="S130" i="55"/>
  <c r="T130" i="55" s="1"/>
  <c r="U130" i="55" s="1"/>
  <c r="V130" i="55" s="1"/>
  <c r="W130" i="55" s="1"/>
  <c r="X130" i="55" s="1"/>
  <c r="Y130" i="55" s="1"/>
  <c r="Z130" i="55" s="1"/>
  <c r="AA130" i="55" s="1"/>
  <c r="AB130" i="55" s="1"/>
  <c r="AC130" i="55" s="1"/>
  <c r="AD130" i="55" s="1"/>
  <c r="AE130" i="55" s="1"/>
  <c r="AF130" i="55" s="1"/>
  <c r="AG130" i="55" s="1"/>
  <c r="AH130" i="55" s="1"/>
  <c r="AI130" i="55" s="1"/>
  <c r="AJ130" i="55" s="1"/>
  <c r="AK130" i="55" s="1"/>
  <c r="AL130" i="55" s="1"/>
  <c r="AM130" i="55" s="1"/>
  <c r="AN130" i="55" s="1"/>
  <c r="AO130" i="55" s="1"/>
  <c r="AP130" i="55" s="1"/>
  <c r="S117" i="55"/>
  <c r="T117" i="55" s="1"/>
  <c r="U117" i="55" s="1"/>
  <c r="V117" i="55" s="1"/>
  <c r="W117" i="55" s="1"/>
  <c r="X117" i="55" s="1"/>
  <c r="Y117" i="55" s="1"/>
  <c r="Z117" i="55" s="1"/>
  <c r="AA117" i="55" s="1"/>
  <c r="AB117" i="55" s="1"/>
  <c r="AC117" i="55" s="1"/>
  <c r="AD117" i="55" s="1"/>
  <c r="AE117" i="55" s="1"/>
  <c r="AF117" i="55" s="1"/>
  <c r="AG117" i="55" s="1"/>
  <c r="AH117" i="55" s="1"/>
  <c r="AI117" i="55" s="1"/>
  <c r="AJ117" i="55" s="1"/>
  <c r="AK117" i="55" s="1"/>
  <c r="AL117" i="55" s="1"/>
  <c r="AM117" i="55" s="1"/>
  <c r="AN117" i="55" s="1"/>
  <c r="AO117" i="55" s="1"/>
  <c r="AP117" i="55" s="1"/>
  <c r="S119" i="55"/>
  <c r="T119" i="55" s="1"/>
  <c r="U119" i="55" s="1"/>
  <c r="V119" i="55" s="1"/>
  <c r="W119" i="55" s="1"/>
  <c r="X119" i="55" s="1"/>
  <c r="Y119" i="55" s="1"/>
  <c r="Z119" i="55" s="1"/>
  <c r="AA119" i="55" s="1"/>
  <c r="AB119" i="55" s="1"/>
  <c r="AC119" i="55" s="1"/>
  <c r="AD119" i="55" s="1"/>
  <c r="AE119" i="55" s="1"/>
  <c r="AF119" i="55" s="1"/>
  <c r="AG119" i="55" s="1"/>
  <c r="AH119" i="55" s="1"/>
  <c r="AI119" i="55" s="1"/>
  <c r="AJ119" i="55" s="1"/>
  <c r="AK119" i="55" s="1"/>
  <c r="AL119" i="55" s="1"/>
  <c r="AM119" i="55" s="1"/>
  <c r="AN119" i="55" s="1"/>
  <c r="AO119" i="55" s="1"/>
  <c r="AP119" i="55" s="1"/>
  <c r="S114" i="55"/>
  <c r="T114" i="55" s="1"/>
  <c r="U114" i="55" s="1"/>
  <c r="V114" i="55" s="1"/>
  <c r="W114" i="55" s="1"/>
  <c r="X114" i="55" s="1"/>
  <c r="Y114" i="55" s="1"/>
  <c r="Z114" i="55" s="1"/>
  <c r="AA114" i="55" s="1"/>
  <c r="AB114" i="55" s="1"/>
  <c r="AC114" i="55" s="1"/>
  <c r="AD114" i="55" s="1"/>
  <c r="AE114" i="55" s="1"/>
  <c r="AF114" i="55" s="1"/>
  <c r="AG114" i="55" s="1"/>
  <c r="AH114" i="55" s="1"/>
  <c r="AI114" i="55" s="1"/>
  <c r="AJ114" i="55" s="1"/>
  <c r="AK114" i="55" s="1"/>
  <c r="AL114" i="55" s="1"/>
  <c r="AM114" i="55" s="1"/>
  <c r="AN114" i="55" s="1"/>
  <c r="AO114" i="55" s="1"/>
  <c r="AP114" i="55" s="1"/>
  <c r="S120" i="55"/>
  <c r="T120" i="55" s="1"/>
  <c r="U120" i="55" s="1"/>
  <c r="V120" i="55" s="1"/>
  <c r="W120" i="55" s="1"/>
  <c r="X120" i="55" s="1"/>
  <c r="Y120" i="55" s="1"/>
  <c r="Z120" i="55" s="1"/>
  <c r="AA120" i="55" s="1"/>
  <c r="AB120" i="55" s="1"/>
  <c r="AC120" i="55" s="1"/>
  <c r="AD120" i="55" s="1"/>
  <c r="AE120" i="55" s="1"/>
  <c r="AF120" i="55" s="1"/>
  <c r="AG120" i="55" s="1"/>
  <c r="AH120" i="55" s="1"/>
  <c r="AI120" i="55" s="1"/>
  <c r="AJ120" i="55" s="1"/>
  <c r="AK120" i="55" s="1"/>
  <c r="AL120" i="55" s="1"/>
  <c r="AM120" i="55" s="1"/>
  <c r="AN120" i="55" s="1"/>
  <c r="AO120" i="55" s="1"/>
  <c r="AP120" i="55" s="1"/>
  <c r="S122" i="55"/>
  <c r="T122" i="55" s="1"/>
  <c r="U122" i="55" s="1"/>
  <c r="V122" i="55" s="1"/>
  <c r="W122" i="55" s="1"/>
  <c r="X122" i="55" s="1"/>
  <c r="Y122" i="55" s="1"/>
  <c r="Z122" i="55" s="1"/>
  <c r="AA122" i="55" s="1"/>
  <c r="AB122" i="55" s="1"/>
  <c r="AC122" i="55" s="1"/>
  <c r="AD122" i="55" s="1"/>
  <c r="AE122" i="55" s="1"/>
  <c r="AF122" i="55" s="1"/>
  <c r="AG122" i="55" s="1"/>
  <c r="AH122" i="55" s="1"/>
  <c r="AI122" i="55" s="1"/>
  <c r="AJ122" i="55" s="1"/>
  <c r="AK122" i="55" s="1"/>
  <c r="AL122" i="55" s="1"/>
  <c r="AM122" i="55" s="1"/>
  <c r="AN122" i="55" s="1"/>
  <c r="AO122" i="55" s="1"/>
  <c r="AP122" i="55" s="1"/>
  <c r="S132" i="55"/>
  <c r="T132" i="55" s="1"/>
  <c r="U132" i="55" s="1"/>
  <c r="V132" i="55" s="1"/>
  <c r="W132" i="55" s="1"/>
  <c r="X132" i="55" s="1"/>
  <c r="Y132" i="55" s="1"/>
  <c r="Z132" i="55" s="1"/>
  <c r="AA132" i="55" s="1"/>
  <c r="AB132" i="55" s="1"/>
  <c r="AC132" i="55" s="1"/>
  <c r="AD132" i="55" s="1"/>
  <c r="AE132" i="55" s="1"/>
  <c r="AF132" i="55" s="1"/>
  <c r="AG132" i="55" s="1"/>
  <c r="AH132" i="55" s="1"/>
  <c r="AI132" i="55" s="1"/>
  <c r="AJ132" i="55" s="1"/>
  <c r="AK132" i="55" s="1"/>
  <c r="AL132" i="55" s="1"/>
  <c r="AM132" i="55" s="1"/>
  <c r="AN132" i="55" s="1"/>
  <c r="AO132" i="55" s="1"/>
  <c r="AP132" i="55" s="1"/>
  <c r="S127" i="55"/>
  <c r="T127" i="55" s="1"/>
  <c r="U127" i="55" s="1"/>
  <c r="V127" i="55" s="1"/>
  <c r="W127" i="55" s="1"/>
  <c r="X127" i="55" s="1"/>
  <c r="Y127" i="55" s="1"/>
  <c r="Z127" i="55" s="1"/>
  <c r="AA127" i="55" s="1"/>
  <c r="AB127" i="55" s="1"/>
  <c r="AC127" i="55" s="1"/>
  <c r="AD127" i="55" s="1"/>
  <c r="AE127" i="55" s="1"/>
  <c r="AF127" i="55" s="1"/>
  <c r="AG127" i="55" s="1"/>
  <c r="AH127" i="55" s="1"/>
  <c r="AI127" i="55" s="1"/>
  <c r="AJ127" i="55" s="1"/>
  <c r="AK127" i="55" s="1"/>
  <c r="AL127" i="55" s="1"/>
  <c r="AM127" i="55" s="1"/>
  <c r="AN127" i="55" s="1"/>
  <c r="AO127" i="55" s="1"/>
  <c r="AP127" i="55" s="1"/>
  <c r="S131" i="55"/>
  <c r="T131" i="55" s="1"/>
  <c r="U131" i="55" s="1"/>
  <c r="V131" i="55" s="1"/>
  <c r="W131" i="55" s="1"/>
  <c r="X131" i="55" s="1"/>
  <c r="Y131" i="55" s="1"/>
  <c r="Z131" i="55" s="1"/>
  <c r="AA131" i="55" s="1"/>
  <c r="AB131" i="55" s="1"/>
  <c r="AC131" i="55" s="1"/>
  <c r="AD131" i="55" s="1"/>
  <c r="AE131" i="55" s="1"/>
  <c r="AF131" i="55" s="1"/>
  <c r="AG131" i="55" s="1"/>
  <c r="AH131" i="55" s="1"/>
  <c r="AI131" i="55" s="1"/>
  <c r="AJ131" i="55" s="1"/>
  <c r="AK131" i="55" s="1"/>
  <c r="AL131" i="55" s="1"/>
  <c r="AM131" i="55" s="1"/>
  <c r="AN131" i="55" s="1"/>
  <c r="AO131" i="55" s="1"/>
  <c r="AP131" i="55" s="1"/>
  <c r="S118" i="55"/>
  <c r="T118" i="55" s="1"/>
  <c r="U118" i="55" s="1"/>
  <c r="V118" i="55" s="1"/>
  <c r="W118" i="55" s="1"/>
  <c r="X118" i="55" s="1"/>
  <c r="Y118" i="55" s="1"/>
  <c r="Z118" i="55" s="1"/>
  <c r="AA118" i="55" s="1"/>
  <c r="AB118" i="55" s="1"/>
  <c r="AC118" i="55" s="1"/>
  <c r="AD118" i="55" s="1"/>
  <c r="AE118" i="55" s="1"/>
  <c r="AF118" i="55" s="1"/>
  <c r="AG118" i="55" s="1"/>
  <c r="AH118" i="55" s="1"/>
  <c r="AI118" i="55" s="1"/>
  <c r="AJ118" i="55" s="1"/>
  <c r="AK118" i="55" s="1"/>
  <c r="AL118" i="55" s="1"/>
  <c r="AM118" i="55" s="1"/>
  <c r="AN118" i="55" s="1"/>
  <c r="AO118" i="55" s="1"/>
  <c r="AP118" i="55" s="1"/>
  <c r="S116" i="55"/>
  <c r="T116" i="55" s="1"/>
  <c r="U116" i="55" s="1"/>
  <c r="V116" i="55" s="1"/>
  <c r="W116" i="55" s="1"/>
  <c r="X116" i="55" s="1"/>
  <c r="Y116" i="55" s="1"/>
  <c r="Z116" i="55" s="1"/>
  <c r="AA116" i="55" s="1"/>
  <c r="AB116" i="55" s="1"/>
  <c r="AC116" i="55" s="1"/>
  <c r="AD116" i="55" s="1"/>
  <c r="AE116" i="55" s="1"/>
  <c r="AF116" i="55" s="1"/>
  <c r="AG116" i="55" s="1"/>
  <c r="AH116" i="55" s="1"/>
  <c r="AI116" i="55" s="1"/>
  <c r="AJ116" i="55" s="1"/>
  <c r="AK116" i="55" s="1"/>
  <c r="AL116" i="55" s="1"/>
  <c r="AM116" i="55" s="1"/>
  <c r="AN116" i="55" s="1"/>
  <c r="AO116" i="55" s="1"/>
  <c r="AP116" i="55" s="1"/>
  <c r="S125" i="55"/>
  <c r="T125" i="55" s="1"/>
  <c r="U125" i="55" s="1"/>
  <c r="V125" i="55" s="1"/>
  <c r="W125" i="55" s="1"/>
  <c r="X125" i="55" s="1"/>
  <c r="Y125" i="55" s="1"/>
  <c r="Z125" i="55" s="1"/>
  <c r="AA125" i="55" s="1"/>
  <c r="AB125" i="55" s="1"/>
  <c r="AC125" i="55" s="1"/>
  <c r="AD125" i="55" s="1"/>
  <c r="AE125" i="55" s="1"/>
  <c r="AF125" i="55" s="1"/>
  <c r="AG125" i="55" s="1"/>
  <c r="AH125" i="55" s="1"/>
  <c r="AI125" i="55" s="1"/>
  <c r="AJ125" i="55" s="1"/>
  <c r="AK125" i="55" s="1"/>
  <c r="AL125" i="55" s="1"/>
  <c r="AM125" i="55" s="1"/>
  <c r="AN125" i="55" s="1"/>
  <c r="AO125" i="55" s="1"/>
  <c r="AP125" i="55" s="1"/>
  <c r="S115" i="55"/>
  <c r="T115" i="55" s="1"/>
  <c r="U115" i="55" s="1"/>
  <c r="V115" i="55" s="1"/>
  <c r="W115" i="55" s="1"/>
  <c r="X115" i="55" s="1"/>
  <c r="Y115" i="55" s="1"/>
  <c r="Z115" i="55" s="1"/>
  <c r="AA115" i="55" s="1"/>
  <c r="AB115" i="55" s="1"/>
  <c r="AC115" i="55" s="1"/>
  <c r="AD115" i="55" s="1"/>
  <c r="AE115" i="55" s="1"/>
  <c r="AF115" i="55" s="1"/>
  <c r="AG115" i="55" s="1"/>
  <c r="AH115" i="55" s="1"/>
  <c r="AI115" i="55" s="1"/>
  <c r="AJ115" i="55" s="1"/>
  <c r="AK115" i="55" s="1"/>
  <c r="AL115" i="55" s="1"/>
  <c r="AM115" i="55" s="1"/>
  <c r="AN115" i="55" s="1"/>
  <c r="AO115" i="55" s="1"/>
  <c r="AP115" i="55" s="1"/>
  <c r="S113" i="55"/>
  <c r="T113" i="55" s="1"/>
  <c r="U113" i="55" s="1"/>
  <c r="V113" i="55" s="1"/>
  <c r="W113" i="55" s="1"/>
  <c r="X113" i="55" s="1"/>
  <c r="Y113" i="55" s="1"/>
  <c r="Z113" i="55" s="1"/>
  <c r="AA113" i="55" s="1"/>
  <c r="AB113" i="55" s="1"/>
  <c r="AC113" i="55" s="1"/>
  <c r="AD113" i="55" s="1"/>
  <c r="AE113" i="55" s="1"/>
  <c r="AF113" i="55" s="1"/>
  <c r="AG113" i="55" s="1"/>
  <c r="AH113" i="55" s="1"/>
  <c r="AI113" i="55" s="1"/>
  <c r="AJ113" i="55" s="1"/>
  <c r="AK113" i="55" s="1"/>
  <c r="AL113" i="55" s="1"/>
  <c r="AM113" i="55" s="1"/>
  <c r="AN113" i="55" s="1"/>
  <c r="AO113" i="55" s="1"/>
  <c r="AP113" i="55" s="1"/>
  <c r="S128" i="55"/>
  <c r="T128" i="55" s="1"/>
  <c r="U128" i="55" s="1"/>
  <c r="V128" i="55" s="1"/>
  <c r="W128" i="55" s="1"/>
  <c r="X128" i="55" s="1"/>
  <c r="Y128" i="55" s="1"/>
  <c r="Z128" i="55" s="1"/>
  <c r="AA128" i="55" s="1"/>
  <c r="AB128" i="55" s="1"/>
  <c r="AC128" i="55" s="1"/>
  <c r="AD128" i="55" s="1"/>
  <c r="AE128" i="55" s="1"/>
  <c r="AF128" i="55" s="1"/>
  <c r="AG128" i="55" s="1"/>
  <c r="AH128" i="55" s="1"/>
  <c r="AI128" i="55" s="1"/>
  <c r="AJ128" i="55" s="1"/>
  <c r="AK128" i="55" s="1"/>
  <c r="AL128" i="55" s="1"/>
  <c r="AM128" i="55" s="1"/>
  <c r="AN128" i="55" s="1"/>
  <c r="AO128" i="55" s="1"/>
  <c r="AP128" i="55" s="1"/>
  <c r="AO38" i="55"/>
  <c r="AP38" i="55" s="1"/>
  <c r="AM17" i="32"/>
  <c r="U97" i="57"/>
  <c r="U108" i="57"/>
  <c r="U81" i="57"/>
  <c r="U55" i="57"/>
  <c r="Q145" i="55"/>
  <c r="R145" i="55" s="1"/>
  <c r="S145" i="55" s="1"/>
  <c r="T145" i="55" s="1"/>
  <c r="U145" i="55" s="1"/>
  <c r="V145" i="55" s="1"/>
  <c r="W145" i="55" s="1"/>
  <c r="X145" i="55" s="1"/>
  <c r="Y145" i="55" s="1"/>
  <c r="Z145" i="55" s="1"/>
  <c r="AA145" i="55" s="1"/>
  <c r="AB145" i="55" s="1"/>
  <c r="AC145" i="55" s="1"/>
  <c r="AD145" i="55" s="1"/>
  <c r="AE145" i="55" s="1"/>
  <c r="AF145" i="55" s="1"/>
  <c r="AG145" i="55" s="1"/>
  <c r="AH145" i="55" s="1"/>
  <c r="AI145" i="55" s="1"/>
  <c r="AJ145" i="55" s="1"/>
  <c r="AK145" i="55" s="1"/>
  <c r="AL145" i="55" s="1"/>
  <c r="AM145" i="55" s="1"/>
  <c r="AN145" i="55" s="1"/>
  <c r="AO145" i="55" s="1"/>
  <c r="AP145" i="55" s="1"/>
  <c r="Q137" i="55"/>
  <c r="Q149" i="55"/>
  <c r="R149" i="55" s="1"/>
  <c r="S149" i="55" s="1"/>
  <c r="T149" i="55" s="1"/>
  <c r="U149" i="55" s="1"/>
  <c r="V149" i="55" s="1"/>
  <c r="W149" i="55" s="1"/>
  <c r="X149" i="55" s="1"/>
  <c r="Y149" i="55" s="1"/>
  <c r="Z149" i="55" s="1"/>
  <c r="AA149" i="55" s="1"/>
  <c r="AB149" i="55" s="1"/>
  <c r="AC149" i="55" s="1"/>
  <c r="AD149" i="55" s="1"/>
  <c r="AE149" i="55" s="1"/>
  <c r="AF149" i="55" s="1"/>
  <c r="AG149" i="55" s="1"/>
  <c r="AH149" i="55" s="1"/>
  <c r="AI149" i="55" s="1"/>
  <c r="AJ149" i="55" s="1"/>
  <c r="AK149" i="55" s="1"/>
  <c r="AL149" i="55" s="1"/>
  <c r="AM149" i="55" s="1"/>
  <c r="AN149" i="55" s="1"/>
  <c r="AO149" i="55" s="1"/>
  <c r="AP149" i="55" s="1"/>
  <c r="Q142" i="55"/>
  <c r="Q150" i="55"/>
  <c r="R150" i="55" s="1"/>
  <c r="S150" i="55" s="1"/>
  <c r="T150" i="55" s="1"/>
  <c r="U150" i="55" s="1"/>
  <c r="V150" i="55" s="1"/>
  <c r="W150" i="55" s="1"/>
  <c r="X150" i="55" s="1"/>
  <c r="Y150" i="55" s="1"/>
  <c r="Z150" i="55" s="1"/>
  <c r="AA150" i="55" s="1"/>
  <c r="AB150" i="55" s="1"/>
  <c r="AC150" i="55" s="1"/>
  <c r="AD150" i="55" s="1"/>
  <c r="AE150" i="55" s="1"/>
  <c r="AF150" i="55" s="1"/>
  <c r="AG150" i="55" s="1"/>
  <c r="AH150" i="55" s="1"/>
  <c r="AI150" i="55" s="1"/>
  <c r="AJ150" i="55" s="1"/>
  <c r="AK150" i="55" s="1"/>
  <c r="AL150" i="55" s="1"/>
  <c r="AM150" i="55" s="1"/>
  <c r="AN150" i="55" s="1"/>
  <c r="AO150" i="55" s="1"/>
  <c r="AP150" i="55" s="1"/>
  <c r="Q148" i="55"/>
  <c r="R148" i="55" s="1"/>
  <c r="S148" i="55" s="1"/>
  <c r="T148" i="55" s="1"/>
  <c r="U148" i="55" s="1"/>
  <c r="V148" i="55" s="1"/>
  <c r="W148" i="55" s="1"/>
  <c r="X148" i="55" s="1"/>
  <c r="Y148" i="55" s="1"/>
  <c r="Z148" i="55" s="1"/>
  <c r="AA148" i="55" s="1"/>
  <c r="AB148" i="55" s="1"/>
  <c r="AC148" i="55" s="1"/>
  <c r="AD148" i="55" s="1"/>
  <c r="AE148" i="55" s="1"/>
  <c r="AF148" i="55" s="1"/>
  <c r="AG148" i="55" s="1"/>
  <c r="AH148" i="55" s="1"/>
  <c r="AI148" i="55" s="1"/>
  <c r="AJ148" i="55" s="1"/>
  <c r="AK148" i="55" s="1"/>
  <c r="AL148" i="55" s="1"/>
  <c r="AM148" i="55" s="1"/>
  <c r="AN148" i="55" s="1"/>
  <c r="AO148" i="55" s="1"/>
  <c r="AP148" i="55" s="1"/>
  <c r="Q134" i="55"/>
  <c r="Q138" i="55"/>
  <c r="Q153" i="55"/>
  <c r="R153" i="55" s="1"/>
  <c r="S153" i="55" s="1"/>
  <c r="T153" i="55" s="1"/>
  <c r="U153" i="55" s="1"/>
  <c r="V153" i="55" s="1"/>
  <c r="W153" i="55" s="1"/>
  <c r="X153" i="55" s="1"/>
  <c r="Y153" i="55" s="1"/>
  <c r="Z153" i="55" s="1"/>
  <c r="AA153" i="55" s="1"/>
  <c r="AB153" i="55" s="1"/>
  <c r="AC153" i="55" s="1"/>
  <c r="AD153" i="55" s="1"/>
  <c r="AE153" i="55" s="1"/>
  <c r="AF153" i="55" s="1"/>
  <c r="AG153" i="55" s="1"/>
  <c r="AH153" i="55" s="1"/>
  <c r="AI153" i="55" s="1"/>
  <c r="AJ153" i="55" s="1"/>
  <c r="AK153" i="55" s="1"/>
  <c r="AL153" i="55" s="1"/>
  <c r="AM153" i="55" s="1"/>
  <c r="AN153" i="55" s="1"/>
  <c r="AO153" i="55" s="1"/>
  <c r="AP153" i="55" s="1"/>
  <c r="Q147" i="55"/>
  <c r="R147" i="55" s="1"/>
  <c r="S147" i="55" s="1"/>
  <c r="T147" i="55" s="1"/>
  <c r="U147" i="55" s="1"/>
  <c r="V147" i="55" s="1"/>
  <c r="W147" i="55" s="1"/>
  <c r="X147" i="55" s="1"/>
  <c r="Y147" i="55" s="1"/>
  <c r="Z147" i="55" s="1"/>
  <c r="AA147" i="55" s="1"/>
  <c r="AB147" i="55" s="1"/>
  <c r="AC147" i="55" s="1"/>
  <c r="AD147" i="55" s="1"/>
  <c r="AE147" i="55" s="1"/>
  <c r="AF147" i="55" s="1"/>
  <c r="AG147" i="55" s="1"/>
  <c r="AH147" i="55" s="1"/>
  <c r="AI147" i="55" s="1"/>
  <c r="AJ147" i="55" s="1"/>
  <c r="AK147" i="55" s="1"/>
  <c r="AL147" i="55" s="1"/>
  <c r="AM147" i="55" s="1"/>
  <c r="AN147" i="55" s="1"/>
  <c r="AO147" i="55" s="1"/>
  <c r="AP147" i="55" s="1"/>
  <c r="Q146" i="55"/>
  <c r="R146" i="55" s="1"/>
  <c r="S146" i="55" s="1"/>
  <c r="T146" i="55" s="1"/>
  <c r="U146" i="55" s="1"/>
  <c r="V146" i="55" s="1"/>
  <c r="W146" i="55" s="1"/>
  <c r="X146" i="55" s="1"/>
  <c r="Y146" i="55" s="1"/>
  <c r="Z146" i="55" s="1"/>
  <c r="AA146" i="55" s="1"/>
  <c r="AB146" i="55" s="1"/>
  <c r="AC146" i="55" s="1"/>
  <c r="AD146" i="55" s="1"/>
  <c r="AE146" i="55" s="1"/>
  <c r="AF146" i="55" s="1"/>
  <c r="AG146" i="55" s="1"/>
  <c r="AH146" i="55" s="1"/>
  <c r="AI146" i="55" s="1"/>
  <c r="AJ146" i="55" s="1"/>
  <c r="AK146" i="55" s="1"/>
  <c r="AL146" i="55" s="1"/>
  <c r="AM146" i="55" s="1"/>
  <c r="AN146" i="55" s="1"/>
  <c r="AO146" i="55" s="1"/>
  <c r="AP146" i="55" s="1"/>
  <c r="Q141" i="55"/>
  <c r="Q136" i="55"/>
  <c r="Q140" i="55"/>
  <c r="Q135" i="55"/>
  <c r="Q152" i="55"/>
  <c r="R152" i="55" s="1"/>
  <c r="S152" i="55" s="1"/>
  <c r="T152" i="55" s="1"/>
  <c r="U152" i="55" s="1"/>
  <c r="V152" i="55" s="1"/>
  <c r="W152" i="55" s="1"/>
  <c r="X152" i="55" s="1"/>
  <c r="Y152" i="55" s="1"/>
  <c r="Z152" i="55" s="1"/>
  <c r="AA152" i="55" s="1"/>
  <c r="AB152" i="55" s="1"/>
  <c r="AC152" i="55" s="1"/>
  <c r="AD152" i="55" s="1"/>
  <c r="AE152" i="55" s="1"/>
  <c r="AF152" i="55" s="1"/>
  <c r="AG152" i="55" s="1"/>
  <c r="AH152" i="55" s="1"/>
  <c r="AI152" i="55" s="1"/>
  <c r="AJ152" i="55" s="1"/>
  <c r="AK152" i="55" s="1"/>
  <c r="AL152" i="55" s="1"/>
  <c r="AM152" i="55" s="1"/>
  <c r="AN152" i="55" s="1"/>
  <c r="AO152" i="55" s="1"/>
  <c r="AP152" i="55" s="1"/>
  <c r="Q151" i="55"/>
  <c r="Q144" i="55"/>
  <c r="Q143" i="55"/>
  <c r="R143" i="55" s="1"/>
  <c r="S143" i="55" s="1"/>
  <c r="T143" i="55" s="1"/>
  <c r="U143" i="55" s="1"/>
  <c r="V143" i="55" s="1"/>
  <c r="W143" i="55" s="1"/>
  <c r="X143" i="55" s="1"/>
  <c r="Y143" i="55" s="1"/>
  <c r="Z143" i="55" s="1"/>
  <c r="AA143" i="55" s="1"/>
  <c r="AB143" i="55" s="1"/>
  <c r="AC143" i="55" s="1"/>
  <c r="AD143" i="55" s="1"/>
  <c r="AE143" i="55" s="1"/>
  <c r="AF143" i="55" s="1"/>
  <c r="AG143" i="55" s="1"/>
  <c r="AH143" i="55" s="1"/>
  <c r="AI143" i="55" s="1"/>
  <c r="AJ143" i="55" s="1"/>
  <c r="AK143" i="55" s="1"/>
  <c r="AL143" i="55" s="1"/>
  <c r="AM143" i="55" s="1"/>
  <c r="AN143" i="55" s="1"/>
  <c r="AO143" i="55" s="1"/>
  <c r="AP143" i="55" s="1"/>
  <c r="Q139" i="55"/>
  <c r="AO211" i="55"/>
  <c r="AO26" i="55"/>
  <c r="AP26" i="55" s="1"/>
  <c r="Q74" i="55"/>
  <c r="N32" i="47" s="1"/>
  <c r="Q72" i="55"/>
  <c r="Q77" i="55"/>
  <c r="N34" i="47" s="1"/>
  <c r="Q82" i="55"/>
  <c r="R82" i="55" s="1"/>
  <c r="S82" i="55" s="1"/>
  <c r="T82" i="55" s="1"/>
  <c r="U82" i="55" s="1"/>
  <c r="V82" i="55" s="1"/>
  <c r="W82" i="55" s="1"/>
  <c r="X82" i="55" s="1"/>
  <c r="Y82" i="55" s="1"/>
  <c r="Z82" i="55" s="1"/>
  <c r="AA82" i="55" s="1"/>
  <c r="AB82" i="55" s="1"/>
  <c r="AC82" i="55" s="1"/>
  <c r="AD82" i="55" s="1"/>
  <c r="AE82" i="55" s="1"/>
  <c r="AF82" i="55" s="1"/>
  <c r="AG82" i="55" s="1"/>
  <c r="AH82" i="55" s="1"/>
  <c r="AI82" i="55" s="1"/>
  <c r="AJ82" i="55" s="1"/>
  <c r="AK82" i="55" s="1"/>
  <c r="AL82" i="55" s="1"/>
  <c r="AM82" i="55" s="1"/>
  <c r="AN82" i="55" s="1"/>
  <c r="AO82" i="55" s="1"/>
  <c r="AP82" i="55" s="1"/>
  <c r="Q85" i="55"/>
  <c r="R85" i="55" s="1"/>
  <c r="S85" i="55" s="1"/>
  <c r="T85" i="55" s="1"/>
  <c r="U85" i="55" s="1"/>
  <c r="V85" i="55" s="1"/>
  <c r="W85" i="55" s="1"/>
  <c r="X85" i="55" s="1"/>
  <c r="Y85" i="55" s="1"/>
  <c r="Z85" i="55" s="1"/>
  <c r="AA85" i="55" s="1"/>
  <c r="AB85" i="55" s="1"/>
  <c r="AC85" i="55" s="1"/>
  <c r="AD85" i="55" s="1"/>
  <c r="AE85" i="55" s="1"/>
  <c r="AF85" i="55" s="1"/>
  <c r="AG85" i="55" s="1"/>
  <c r="AH85" i="55" s="1"/>
  <c r="AI85" i="55" s="1"/>
  <c r="AJ85" i="55" s="1"/>
  <c r="AK85" i="55" s="1"/>
  <c r="AL85" i="55" s="1"/>
  <c r="AM85" i="55" s="1"/>
  <c r="AN85" i="55" s="1"/>
  <c r="AO85" i="55" s="1"/>
  <c r="AP85" i="55" s="1"/>
  <c r="Q75" i="55"/>
  <c r="N35" i="47" s="1"/>
  <c r="Q87" i="55"/>
  <c r="R87" i="55" s="1"/>
  <c r="S87" i="55" s="1"/>
  <c r="T87" i="55" s="1"/>
  <c r="U87" i="55" s="1"/>
  <c r="V87" i="55" s="1"/>
  <c r="W87" i="55" s="1"/>
  <c r="X87" i="55" s="1"/>
  <c r="Y87" i="55" s="1"/>
  <c r="Z87" i="55" s="1"/>
  <c r="AA87" i="55" s="1"/>
  <c r="AB87" i="55" s="1"/>
  <c r="AC87" i="55" s="1"/>
  <c r="AD87" i="55" s="1"/>
  <c r="AE87" i="55" s="1"/>
  <c r="AF87" i="55" s="1"/>
  <c r="AG87" i="55" s="1"/>
  <c r="AH87" i="55" s="1"/>
  <c r="AI87" i="55" s="1"/>
  <c r="AJ87" i="55" s="1"/>
  <c r="AK87" i="55" s="1"/>
  <c r="AL87" i="55" s="1"/>
  <c r="AM87" i="55" s="1"/>
  <c r="AN87" i="55" s="1"/>
  <c r="AO87" i="55" s="1"/>
  <c r="AP87" i="55" s="1"/>
  <c r="Q84" i="55"/>
  <c r="R84" i="55" s="1"/>
  <c r="S84" i="55" s="1"/>
  <c r="T84" i="55" s="1"/>
  <c r="U84" i="55" s="1"/>
  <c r="V84" i="55" s="1"/>
  <c r="W84" i="55" s="1"/>
  <c r="X84" i="55" s="1"/>
  <c r="Y84" i="55" s="1"/>
  <c r="Z84" i="55" s="1"/>
  <c r="AA84" i="55" s="1"/>
  <c r="AB84" i="55" s="1"/>
  <c r="AC84" i="55" s="1"/>
  <c r="AD84" i="55" s="1"/>
  <c r="AE84" i="55" s="1"/>
  <c r="AF84" i="55" s="1"/>
  <c r="AG84" i="55" s="1"/>
  <c r="AH84" i="55" s="1"/>
  <c r="AI84" i="55" s="1"/>
  <c r="AJ84" i="55" s="1"/>
  <c r="AK84" i="55" s="1"/>
  <c r="AL84" i="55" s="1"/>
  <c r="AM84" i="55" s="1"/>
  <c r="AN84" i="55" s="1"/>
  <c r="AO84" i="55" s="1"/>
  <c r="AP84" i="55" s="1"/>
  <c r="Q83" i="55"/>
  <c r="R83" i="55" s="1"/>
  <c r="S83" i="55" s="1"/>
  <c r="T83" i="55" s="1"/>
  <c r="U83" i="55" s="1"/>
  <c r="V83" i="55" s="1"/>
  <c r="W83" i="55" s="1"/>
  <c r="X83" i="55" s="1"/>
  <c r="Y83" i="55" s="1"/>
  <c r="Z83" i="55" s="1"/>
  <c r="AA83" i="55" s="1"/>
  <c r="AB83" i="55" s="1"/>
  <c r="AC83" i="55" s="1"/>
  <c r="AD83" i="55" s="1"/>
  <c r="AE83" i="55" s="1"/>
  <c r="AF83" i="55" s="1"/>
  <c r="AG83" i="55" s="1"/>
  <c r="AH83" i="55" s="1"/>
  <c r="AI83" i="55" s="1"/>
  <c r="AJ83" i="55" s="1"/>
  <c r="AK83" i="55" s="1"/>
  <c r="AL83" i="55" s="1"/>
  <c r="AM83" i="55" s="1"/>
  <c r="AN83" i="55" s="1"/>
  <c r="AO83" i="55" s="1"/>
  <c r="AP83" i="55" s="1"/>
  <c r="Q90" i="55"/>
  <c r="R90" i="55" s="1"/>
  <c r="S90" i="55" s="1"/>
  <c r="T90" i="55" s="1"/>
  <c r="U90" i="55" s="1"/>
  <c r="V90" i="55" s="1"/>
  <c r="W90" i="55" s="1"/>
  <c r="X90" i="55" s="1"/>
  <c r="Y90" i="55" s="1"/>
  <c r="Z90" i="55" s="1"/>
  <c r="AA90" i="55" s="1"/>
  <c r="AB90" i="55" s="1"/>
  <c r="AC90" i="55" s="1"/>
  <c r="AD90" i="55" s="1"/>
  <c r="AE90" i="55" s="1"/>
  <c r="AF90" i="55" s="1"/>
  <c r="AG90" i="55" s="1"/>
  <c r="AH90" i="55" s="1"/>
  <c r="AI90" i="55" s="1"/>
  <c r="AJ90" i="55" s="1"/>
  <c r="AK90" i="55" s="1"/>
  <c r="AL90" i="55" s="1"/>
  <c r="AM90" i="55" s="1"/>
  <c r="AN90" i="55" s="1"/>
  <c r="AO90" i="55" s="1"/>
  <c r="AP90" i="55" s="1"/>
  <c r="Q76" i="55"/>
  <c r="N39" i="47" s="1"/>
  <c r="Q86" i="55"/>
  <c r="R86" i="55" s="1"/>
  <c r="S86" i="55" s="1"/>
  <c r="T86" i="55" s="1"/>
  <c r="U86" i="55" s="1"/>
  <c r="V86" i="55" s="1"/>
  <c r="W86" i="55" s="1"/>
  <c r="X86" i="55" s="1"/>
  <c r="Y86" i="55" s="1"/>
  <c r="Z86" i="55" s="1"/>
  <c r="AA86" i="55" s="1"/>
  <c r="AB86" i="55" s="1"/>
  <c r="AC86" i="55" s="1"/>
  <c r="AD86" i="55" s="1"/>
  <c r="AE86" i="55" s="1"/>
  <c r="AF86" i="55" s="1"/>
  <c r="AG86" i="55" s="1"/>
  <c r="AH86" i="55" s="1"/>
  <c r="AI86" i="55" s="1"/>
  <c r="AJ86" i="55" s="1"/>
  <c r="AK86" i="55" s="1"/>
  <c r="AL86" i="55" s="1"/>
  <c r="AM86" i="55" s="1"/>
  <c r="AN86" i="55" s="1"/>
  <c r="AO86" i="55" s="1"/>
  <c r="AP86" i="55" s="1"/>
  <c r="Q89" i="55"/>
  <c r="R89" i="55" s="1"/>
  <c r="S89" i="55" s="1"/>
  <c r="T89" i="55" s="1"/>
  <c r="U89" i="55" s="1"/>
  <c r="V89" i="55" s="1"/>
  <c r="W89" i="55" s="1"/>
  <c r="X89" i="55" s="1"/>
  <c r="Y89" i="55" s="1"/>
  <c r="Z89" i="55" s="1"/>
  <c r="AA89" i="55" s="1"/>
  <c r="AB89" i="55" s="1"/>
  <c r="AC89" i="55" s="1"/>
  <c r="AD89" i="55" s="1"/>
  <c r="AE89" i="55" s="1"/>
  <c r="AF89" i="55" s="1"/>
  <c r="AG89" i="55" s="1"/>
  <c r="AH89" i="55" s="1"/>
  <c r="AI89" i="55" s="1"/>
  <c r="AJ89" i="55" s="1"/>
  <c r="AK89" i="55" s="1"/>
  <c r="AL89" i="55" s="1"/>
  <c r="AM89" i="55" s="1"/>
  <c r="AN89" i="55" s="1"/>
  <c r="AO89" i="55" s="1"/>
  <c r="AP89" i="55" s="1"/>
  <c r="Q73" i="55"/>
  <c r="N37" i="47" s="1"/>
  <c r="Q78" i="55"/>
  <c r="N38" i="47" s="1"/>
  <c r="Q88" i="55"/>
  <c r="N40" i="47" s="1"/>
  <c r="Q79" i="55"/>
  <c r="N33" i="47" s="1"/>
  <c r="Q80" i="55"/>
  <c r="R80" i="55" s="1"/>
  <c r="S80" i="55" s="1"/>
  <c r="T80" i="55" s="1"/>
  <c r="U80" i="55" s="1"/>
  <c r="V80" i="55" s="1"/>
  <c r="W80" i="55" s="1"/>
  <c r="X80" i="55" s="1"/>
  <c r="Y80" i="55" s="1"/>
  <c r="Z80" i="55" s="1"/>
  <c r="AA80" i="55" s="1"/>
  <c r="AB80" i="55" s="1"/>
  <c r="AC80" i="55" s="1"/>
  <c r="AD80" i="55" s="1"/>
  <c r="AE80" i="55" s="1"/>
  <c r="AF80" i="55" s="1"/>
  <c r="AG80" i="55" s="1"/>
  <c r="AH80" i="55" s="1"/>
  <c r="AI80" i="55" s="1"/>
  <c r="AJ80" i="55" s="1"/>
  <c r="AK80" i="55" s="1"/>
  <c r="AL80" i="55" s="1"/>
  <c r="AM80" i="55" s="1"/>
  <c r="AN80" i="55" s="1"/>
  <c r="AO80" i="55" s="1"/>
  <c r="AP80" i="55" s="1"/>
  <c r="Q81" i="55"/>
  <c r="N41" i="47" s="1"/>
  <c r="Q71" i="55"/>
  <c r="N36" i="47" s="1"/>
  <c r="AL68" i="32"/>
  <c r="AM68" i="32" s="1"/>
  <c r="AC68" i="32"/>
  <c r="AD68" i="32" s="1"/>
  <c r="AE68" i="32" s="1"/>
  <c r="AF68" i="32" s="1"/>
  <c r="AG68" i="32" s="1"/>
  <c r="AH68" i="32" s="1"/>
  <c r="AI68" i="32" s="1"/>
  <c r="AJ68" i="32" s="1"/>
  <c r="AK68" i="32" s="1"/>
  <c r="N86" i="57"/>
  <c r="N101" i="57"/>
  <c r="N109" i="57"/>
  <c r="N56" i="57"/>
  <c r="V7" i="56"/>
  <c r="O47" i="57" s="1"/>
  <c r="U47" i="57"/>
  <c r="V93" i="57"/>
  <c r="V75" i="57"/>
  <c r="V16" i="57"/>
  <c r="V54" i="57"/>
  <c r="V107" i="57"/>
  <c r="AL64" i="32"/>
  <c r="AM64" i="32" s="1"/>
  <c r="AC64" i="32"/>
  <c r="AD64" i="32" s="1"/>
  <c r="AE64" i="32" s="1"/>
  <c r="AF64" i="32" s="1"/>
  <c r="AG64" i="32" s="1"/>
  <c r="AH64" i="32" s="1"/>
  <c r="AI64" i="32" s="1"/>
  <c r="AJ64" i="32" s="1"/>
  <c r="AK64" i="32" s="1"/>
  <c r="AP37" i="32"/>
  <c r="AP25" i="32"/>
  <c r="AP19" i="32" s="1"/>
  <c r="U54" i="57"/>
  <c r="U75" i="57"/>
  <c r="U16" i="57"/>
  <c r="U93" i="57"/>
  <c r="U107" i="57"/>
  <c r="AL63" i="32"/>
  <c r="AC63" i="32"/>
  <c r="AD63" i="32" s="1"/>
  <c r="AE63" i="32" s="1"/>
  <c r="AF63" i="32" s="1"/>
  <c r="AG63" i="32" s="1"/>
  <c r="AH63" i="32" s="1"/>
  <c r="AI63" i="32" s="1"/>
  <c r="AJ63" i="32" s="1"/>
  <c r="AK63" i="32" s="1"/>
  <c r="P16" i="57"/>
  <c r="P54" i="57"/>
  <c r="P93" i="57"/>
  <c r="P75" i="57"/>
  <c r="P107" i="57"/>
  <c r="AO19" i="32"/>
  <c r="AO18" i="32"/>
  <c r="J119" i="57"/>
  <c r="J121" i="57"/>
  <c r="J120" i="57"/>
  <c r="P56" i="57"/>
  <c r="J56" i="57" s="1"/>
  <c r="P87" i="57"/>
  <c r="P90" i="57" s="1"/>
  <c r="J32" i="57"/>
  <c r="O16" i="57"/>
  <c r="O107" i="57"/>
  <c r="O75" i="57"/>
  <c r="O93" i="57"/>
  <c r="O54" i="57"/>
  <c r="AM19" i="32"/>
  <c r="J115" i="57"/>
  <c r="J116" i="57"/>
  <c r="J117" i="57"/>
  <c r="S34" i="55"/>
  <c r="O128" i="47"/>
  <c r="Q246" i="55"/>
  <c r="R246" i="55" s="1"/>
  <c r="S246" i="55" s="1"/>
  <c r="T246" i="55" s="1"/>
  <c r="U246" i="55" s="1"/>
  <c r="V246" i="55" s="1"/>
  <c r="W246" i="55" s="1"/>
  <c r="X246" i="55" s="1"/>
  <c r="Y246" i="55" s="1"/>
  <c r="Z246" i="55" s="1"/>
  <c r="AA246" i="55" s="1"/>
  <c r="AB246" i="55" s="1"/>
  <c r="AC246" i="55" s="1"/>
  <c r="AD246" i="55" s="1"/>
  <c r="AE246" i="55" s="1"/>
  <c r="AF246" i="55" s="1"/>
  <c r="AG246" i="55" s="1"/>
  <c r="AH246" i="55" s="1"/>
  <c r="AI246" i="55" s="1"/>
  <c r="AJ246" i="55" s="1"/>
  <c r="AK246" i="55" s="1"/>
  <c r="AL246" i="55" s="1"/>
  <c r="AM246" i="55" s="1"/>
  <c r="AN246" i="55" s="1"/>
  <c r="AO246" i="55" s="1"/>
  <c r="AP246" i="55" s="1"/>
  <c r="Q250" i="55"/>
  <c r="R250" i="55" s="1"/>
  <c r="S250" i="55" s="1"/>
  <c r="T250" i="55" s="1"/>
  <c r="U250" i="55" s="1"/>
  <c r="V250" i="55" s="1"/>
  <c r="W250" i="55" s="1"/>
  <c r="X250" i="55" s="1"/>
  <c r="Y250" i="55" s="1"/>
  <c r="Z250" i="55" s="1"/>
  <c r="AA250" i="55" s="1"/>
  <c r="AB250" i="55" s="1"/>
  <c r="AC250" i="55" s="1"/>
  <c r="AD250" i="55" s="1"/>
  <c r="AE250" i="55" s="1"/>
  <c r="AF250" i="55" s="1"/>
  <c r="AG250" i="55" s="1"/>
  <c r="AH250" i="55" s="1"/>
  <c r="AI250" i="55" s="1"/>
  <c r="AJ250" i="55" s="1"/>
  <c r="AK250" i="55" s="1"/>
  <c r="AL250" i="55" s="1"/>
  <c r="AM250" i="55" s="1"/>
  <c r="AN250" i="55" s="1"/>
  <c r="AO250" i="55" s="1"/>
  <c r="AP250" i="55" s="1"/>
  <c r="Q251" i="55"/>
  <c r="R251" i="55" s="1"/>
  <c r="S251" i="55" s="1"/>
  <c r="T251" i="55" s="1"/>
  <c r="U251" i="55" s="1"/>
  <c r="V251" i="55" s="1"/>
  <c r="W251" i="55" s="1"/>
  <c r="X251" i="55" s="1"/>
  <c r="Y251" i="55" s="1"/>
  <c r="Z251" i="55" s="1"/>
  <c r="AA251" i="55" s="1"/>
  <c r="AB251" i="55" s="1"/>
  <c r="AC251" i="55" s="1"/>
  <c r="AD251" i="55" s="1"/>
  <c r="AE251" i="55" s="1"/>
  <c r="AF251" i="55" s="1"/>
  <c r="AG251" i="55" s="1"/>
  <c r="AH251" i="55" s="1"/>
  <c r="AI251" i="55" s="1"/>
  <c r="AJ251" i="55" s="1"/>
  <c r="AK251" i="55" s="1"/>
  <c r="AL251" i="55" s="1"/>
  <c r="AM251" i="55" s="1"/>
  <c r="AN251" i="55" s="1"/>
  <c r="AO251" i="55" s="1"/>
  <c r="AP251" i="55" s="1"/>
  <c r="Q244" i="55"/>
  <c r="R244" i="55" s="1"/>
  <c r="S244" i="55" s="1"/>
  <c r="T244" i="55" s="1"/>
  <c r="U244" i="55" s="1"/>
  <c r="V244" i="55" s="1"/>
  <c r="W244" i="55" s="1"/>
  <c r="X244" i="55" s="1"/>
  <c r="Y244" i="55" s="1"/>
  <c r="Z244" i="55" s="1"/>
  <c r="AA244" i="55" s="1"/>
  <c r="AB244" i="55" s="1"/>
  <c r="AC244" i="55" s="1"/>
  <c r="AD244" i="55" s="1"/>
  <c r="AE244" i="55" s="1"/>
  <c r="AF244" i="55" s="1"/>
  <c r="AG244" i="55" s="1"/>
  <c r="AH244" i="55" s="1"/>
  <c r="AI244" i="55" s="1"/>
  <c r="AJ244" i="55" s="1"/>
  <c r="AK244" i="55" s="1"/>
  <c r="AL244" i="55" s="1"/>
  <c r="AM244" i="55" s="1"/>
  <c r="AN244" i="55" s="1"/>
  <c r="AO244" i="55" s="1"/>
  <c r="AP244" i="55" s="1"/>
  <c r="Q232" i="55"/>
  <c r="R232" i="55" s="1"/>
  <c r="S232" i="55" s="1"/>
  <c r="T232" i="55" s="1"/>
  <c r="U232" i="55" s="1"/>
  <c r="V232" i="55" s="1"/>
  <c r="W232" i="55" s="1"/>
  <c r="X232" i="55" s="1"/>
  <c r="Y232" i="55" s="1"/>
  <c r="Z232" i="55" s="1"/>
  <c r="AA232" i="55" s="1"/>
  <c r="AB232" i="55" s="1"/>
  <c r="AC232" i="55" s="1"/>
  <c r="AD232" i="55" s="1"/>
  <c r="AE232" i="55" s="1"/>
  <c r="AF232" i="55" s="1"/>
  <c r="AG232" i="55" s="1"/>
  <c r="AH232" i="55" s="1"/>
  <c r="AI232" i="55" s="1"/>
  <c r="AJ232" i="55" s="1"/>
  <c r="AK232" i="55" s="1"/>
  <c r="AL232" i="55" s="1"/>
  <c r="AM232" i="55" s="1"/>
  <c r="AN232" i="55" s="1"/>
  <c r="AO232" i="55" s="1"/>
  <c r="AP232" i="55" s="1"/>
  <c r="Q241" i="55"/>
  <c r="N54" i="47" s="1"/>
  <c r="Q249" i="55"/>
  <c r="R249" i="55" s="1"/>
  <c r="S249" i="55" s="1"/>
  <c r="T249" i="55" s="1"/>
  <c r="U249" i="55" s="1"/>
  <c r="V249" i="55" s="1"/>
  <c r="W249" i="55" s="1"/>
  <c r="X249" i="55" s="1"/>
  <c r="Y249" i="55" s="1"/>
  <c r="Z249" i="55" s="1"/>
  <c r="AA249" i="55" s="1"/>
  <c r="AB249" i="55" s="1"/>
  <c r="AC249" i="55" s="1"/>
  <c r="AD249" i="55" s="1"/>
  <c r="AE249" i="55" s="1"/>
  <c r="AF249" i="55" s="1"/>
  <c r="AG249" i="55" s="1"/>
  <c r="AH249" i="55" s="1"/>
  <c r="AI249" i="55" s="1"/>
  <c r="AJ249" i="55" s="1"/>
  <c r="AK249" i="55" s="1"/>
  <c r="AL249" i="55" s="1"/>
  <c r="AM249" i="55" s="1"/>
  <c r="AN249" i="55" s="1"/>
  <c r="AO249" i="55" s="1"/>
  <c r="AP249" i="55" s="1"/>
  <c r="Q253" i="55"/>
  <c r="N132" i="47" s="1"/>
  <c r="Q242" i="55"/>
  <c r="R242" i="55" s="1"/>
  <c r="S242" i="55" s="1"/>
  <c r="T242" i="55" s="1"/>
  <c r="U242" i="55" s="1"/>
  <c r="V242" i="55" s="1"/>
  <c r="W242" i="55" s="1"/>
  <c r="X242" i="55" s="1"/>
  <c r="Y242" i="55" s="1"/>
  <c r="Z242" i="55" s="1"/>
  <c r="AA242" i="55" s="1"/>
  <c r="AB242" i="55" s="1"/>
  <c r="AC242" i="55" s="1"/>
  <c r="AD242" i="55" s="1"/>
  <c r="AE242" i="55" s="1"/>
  <c r="AF242" i="55" s="1"/>
  <c r="AG242" i="55" s="1"/>
  <c r="AH242" i="55" s="1"/>
  <c r="AI242" i="55" s="1"/>
  <c r="AJ242" i="55" s="1"/>
  <c r="AK242" i="55" s="1"/>
  <c r="AL242" i="55" s="1"/>
  <c r="AM242" i="55" s="1"/>
  <c r="AN242" i="55" s="1"/>
  <c r="AO242" i="55" s="1"/>
  <c r="AP242" i="55" s="1"/>
  <c r="Q237" i="55"/>
  <c r="Q234" i="55"/>
  <c r="Q248" i="55"/>
  <c r="R248" i="55" s="1"/>
  <c r="S248" i="55" s="1"/>
  <c r="T248" i="55" s="1"/>
  <c r="U248" i="55" s="1"/>
  <c r="V248" i="55" s="1"/>
  <c r="W248" i="55" s="1"/>
  <c r="X248" i="55" s="1"/>
  <c r="Y248" i="55" s="1"/>
  <c r="Z248" i="55" s="1"/>
  <c r="AA248" i="55" s="1"/>
  <c r="AB248" i="55" s="1"/>
  <c r="AC248" i="55" s="1"/>
  <c r="AD248" i="55" s="1"/>
  <c r="AE248" i="55" s="1"/>
  <c r="AF248" i="55" s="1"/>
  <c r="AG248" i="55" s="1"/>
  <c r="AH248" i="55" s="1"/>
  <c r="AI248" i="55" s="1"/>
  <c r="AJ248" i="55" s="1"/>
  <c r="AK248" i="55" s="1"/>
  <c r="AL248" i="55" s="1"/>
  <c r="AM248" i="55" s="1"/>
  <c r="AN248" i="55" s="1"/>
  <c r="AO248" i="55" s="1"/>
  <c r="AP248" i="55" s="1"/>
  <c r="Q231" i="55"/>
  <c r="R231" i="55" s="1"/>
  <c r="S231" i="55" s="1"/>
  <c r="T231" i="55" s="1"/>
  <c r="U231" i="55" s="1"/>
  <c r="V231" i="55" s="1"/>
  <c r="W231" i="55" s="1"/>
  <c r="X231" i="55" s="1"/>
  <c r="Y231" i="55" s="1"/>
  <c r="Z231" i="55" s="1"/>
  <c r="AA231" i="55" s="1"/>
  <c r="AB231" i="55" s="1"/>
  <c r="AC231" i="55" s="1"/>
  <c r="AD231" i="55" s="1"/>
  <c r="AE231" i="55" s="1"/>
  <c r="AF231" i="55" s="1"/>
  <c r="AG231" i="55" s="1"/>
  <c r="AH231" i="55" s="1"/>
  <c r="AI231" i="55" s="1"/>
  <c r="AJ231" i="55" s="1"/>
  <c r="AK231" i="55" s="1"/>
  <c r="AL231" i="55" s="1"/>
  <c r="AM231" i="55" s="1"/>
  <c r="AN231" i="55" s="1"/>
  <c r="AO231" i="55" s="1"/>
  <c r="AP231" i="55" s="1"/>
  <c r="Q252" i="55"/>
  <c r="R252" i="55" s="1"/>
  <c r="S252" i="55" s="1"/>
  <c r="T252" i="55" s="1"/>
  <c r="U252" i="55" s="1"/>
  <c r="V252" i="55" s="1"/>
  <c r="W252" i="55" s="1"/>
  <c r="X252" i="55" s="1"/>
  <c r="Y252" i="55" s="1"/>
  <c r="Z252" i="55" s="1"/>
  <c r="AA252" i="55" s="1"/>
  <c r="AB252" i="55" s="1"/>
  <c r="AC252" i="55" s="1"/>
  <c r="AD252" i="55" s="1"/>
  <c r="AE252" i="55" s="1"/>
  <c r="AF252" i="55" s="1"/>
  <c r="AG252" i="55" s="1"/>
  <c r="AH252" i="55" s="1"/>
  <c r="AI252" i="55" s="1"/>
  <c r="AJ252" i="55" s="1"/>
  <c r="AK252" i="55" s="1"/>
  <c r="AL252" i="55" s="1"/>
  <c r="AM252" i="55" s="1"/>
  <c r="AN252" i="55" s="1"/>
  <c r="AO252" i="55" s="1"/>
  <c r="AP252" i="55" s="1"/>
  <c r="Q235" i="55"/>
  <c r="N58" i="47" s="1"/>
  <c r="Q233" i="55"/>
  <c r="N57" i="47" s="1"/>
  <c r="Q245" i="55"/>
  <c r="R245" i="55" s="1"/>
  <c r="S245" i="55" s="1"/>
  <c r="T245" i="55" s="1"/>
  <c r="U245" i="55" s="1"/>
  <c r="V245" i="55" s="1"/>
  <c r="W245" i="55" s="1"/>
  <c r="X245" i="55" s="1"/>
  <c r="Y245" i="55" s="1"/>
  <c r="Z245" i="55" s="1"/>
  <c r="AA245" i="55" s="1"/>
  <c r="AB245" i="55" s="1"/>
  <c r="AC245" i="55" s="1"/>
  <c r="AD245" i="55" s="1"/>
  <c r="AE245" i="55" s="1"/>
  <c r="AF245" i="55" s="1"/>
  <c r="AG245" i="55" s="1"/>
  <c r="AH245" i="55" s="1"/>
  <c r="AI245" i="55" s="1"/>
  <c r="AJ245" i="55" s="1"/>
  <c r="AK245" i="55" s="1"/>
  <c r="AL245" i="55" s="1"/>
  <c r="AM245" i="55" s="1"/>
  <c r="AN245" i="55" s="1"/>
  <c r="AO245" i="55" s="1"/>
  <c r="AP245" i="55" s="1"/>
  <c r="Q243" i="55"/>
  <c r="Q236" i="55"/>
  <c r="Q238" i="55"/>
  <c r="Q240" i="55"/>
  <c r="N59" i="47" s="1"/>
  <c r="Q247" i="55"/>
  <c r="R247" i="55" s="1"/>
  <c r="S247" i="55" s="1"/>
  <c r="T247" i="55" s="1"/>
  <c r="U247" i="55" s="1"/>
  <c r="V247" i="55" s="1"/>
  <c r="W247" i="55" s="1"/>
  <c r="X247" i="55" s="1"/>
  <c r="Y247" i="55" s="1"/>
  <c r="Z247" i="55" s="1"/>
  <c r="AA247" i="55" s="1"/>
  <c r="AB247" i="55" s="1"/>
  <c r="AC247" i="55" s="1"/>
  <c r="AD247" i="55" s="1"/>
  <c r="AE247" i="55" s="1"/>
  <c r="AF247" i="55" s="1"/>
  <c r="AG247" i="55" s="1"/>
  <c r="AH247" i="55" s="1"/>
  <c r="AI247" i="55" s="1"/>
  <c r="AJ247" i="55" s="1"/>
  <c r="AK247" i="55" s="1"/>
  <c r="AL247" i="55" s="1"/>
  <c r="AM247" i="55" s="1"/>
  <c r="AN247" i="55" s="1"/>
  <c r="AO247" i="55" s="1"/>
  <c r="AP247" i="55" s="1"/>
  <c r="Q239" i="55"/>
  <c r="N55" i="47" s="1"/>
  <c r="J123" i="57"/>
  <c r="J124" i="57"/>
  <c r="P81" i="57"/>
  <c r="P97" i="57"/>
  <c r="P108" i="57"/>
  <c r="P55" i="57"/>
  <c r="J55" i="57" s="1"/>
  <c r="O86" i="57"/>
  <c r="O101" i="57"/>
  <c r="O56" i="57"/>
  <c r="I56" i="57" s="1"/>
  <c r="O109" i="57"/>
  <c r="O22" i="29"/>
  <c r="P16" i="29"/>
  <c r="P22" i="29" s="1"/>
  <c r="V55" i="57"/>
  <c r="V108" i="57"/>
  <c r="V97" i="57"/>
  <c r="V81" i="57"/>
  <c r="I124" i="57"/>
  <c r="I123" i="57"/>
  <c r="I125" i="57"/>
  <c r="Q198" i="55"/>
  <c r="Q193" i="55"/>
  <c r="N26" i="47" s="1"/>
  <c r="Q197" i="55"/>
  <c r="Q203" i="55"/>
  <c r="Q194" i="55"/>
  <c r="N21" i="47" s="1"/>
  <c r="Q200" i="55"/>
  <c r="Q206" i="55"/>
  <c r="R206" i="55" s="1"/>
  <c r="S206" i="55" s="1"/>
  <c r="T206" i="55" s="1"/>
  <c r="U206" i="55" s="1"/>
  <c r="V206" i="55" s="1"/>
  <c r="W206" i="55" s="1"/>
  <c r="X206" i="55" s="1"/>
  <c r="Y206" i="55" s="1"/>
  <c r="Z206" i="55" s="1"/>
  <c r="AA206" i="55" s="1"/>
  <c r="AB206" i="55" s="1"/>
  <c r="AC206" i="55" s="1"/>
  <c r="AD206" i="55" s="1"/>
  <c r="AE206" i="55" s="1"/>
  <c r="AF206" i="55" s="1"/>
  <c r="AG206" i="55" s="1"/>
  <c r="AH206" i="55" s="1"/>
  <c r="AI206" i="55" s="1"/>
  <c r="AJ206" i="55" s="1"/>
  <c r="AK206" i="55" s="1"/>
  <c r="AL206" i="55" s="1"/>
  <c r="AM206" i="55" s="1"/>
  <c r="AN206" i="55" s="1"/>
  <c r="AO206" i="55" s="1"/>
  <c r="AP206" i="55" s="1"/>
  <c r="Q199" i="55"/>
  <c r="N24" i="47" s="1"/>
  <c r="Q204" i="55"/>
  <c r="R204" i="55" s="1"/>
  <c r="S204" i="55" s="1"/>
  <c r="T204" i="55" s="1"/>
  <c r="U204" i="55" s="1"/>
  <c r="V204" i="55" s="1"/>
  <c r="W204" i="55" s="1"/>
  <c r="X204" i="55" s="1"/>
  <c r="Y204" i="55" s="1"/>
  <c r="Z204" i="55" s="1"/>
  <c r="AA204" i="55" s="1"/>
  <c r="AB204" i="55" s="1"/>
  <c r="AC204" i="55" s="1"/>
  <c r="AD204" i="55" s="1"/>
  <c r="AE204" i="55" s="1"/>
  <c r="AF204" i="55" s="1"/>
  <c r="AG204" i="55" s="1"/>
  <c r="AH204" i="55" s="1"/>
  <c r="AI204" i="55" s="1"/>
  <c r="AJ204" i="55" s="1"/>
  <c r="AK204" i="55" s="1"/>
  <c r="AL204" i="55" s="1"/>
  <c r="AM204" i="55" s="1"/>
  <c r="AN204" i="55" s="1"/>
  <c r="AO204" i="55" s="1"/>
  <c r="AP204" i="55" s="1"/>
  <c r="Q205" i="55"/>
  <c r="R205" i="55" s="1"/>
  <c r="S205" i="55" s="1"/>
  <c r="T205" i="55" s="1"/>
  <c r="U205" i="55" s="1"/>
  <c r="V205" i="55" s="1"/>
  <c r="W205" i="55" s="1"/>
  <c r="X205" i="55" s="1"/>
  <c r="Y205" i="55" s="1"/>
  <c r="Z205" i="55" s="1"/>
  <c r="AA205" i="55" s="1"/>
  <c r="AB205" i="55" s="1"/>
  <c r="AC205" i="55" s="1"/>
  <c r="AD205" i="55" s="1"/>
  <c r="AE205" i="55" s="1"/>
  <c r="AF205" i="55" s="1"/>
  <c r="AG205" i="55" s="1"/>
  <c r="AH205" i="55" s="1"/>
  <c r="AI205" i="55" s="1"/>
  <c r="AJ205" i="55" s="1"/>
  <c r="AK205" i="55" s="1"/>
  <c r="AL205" i="55" s="1"/>
  <c r="AM205" i="55" s="1"/>
  <c r="AN205" i="55" s="1"/>
  <c r="AO205" i="55" s="1"/>
  <c r="AP205" i="55" s="1"/>
  <c r="Q207" i="55"/>
  <c r="R207" i="55" s="1"/>
  <c r="S207" i="55" s="1"/>
  <c r="T207" i="55" s="1"/>
  <c r="U207" i="55" s="1"/>
  <c r="V207" i="55" s="1"/>
  <c r="W207" i="55" s="1"/>
  <c r="X207" i="55" s="1"/>
  <c r="Y207" i="55" s="1"/>
  <c r="Z207" i="55" s="1"/>
  <c r="AA207" i="55" s="1"/>
  <c r="AB207" i="55" s="1"/>
  <c r="AC207" i="55" s="1"/>
  <c r="AD207" i="55" s="1"/>
  <c r="AE207" i="55" s="1"/>
  <c r="AF207" i="55" s="1"/>
  <c r="AG207" i="55" s="1"/>
  <c r="AH207" i="55" s="1"/>
  <c r="AI207" i="55" s="1"/>
  <c r="AJ207" i="55" s="1"/>
  <c r="AK207" i="55" s="1"/>
  <c r="AL207" i="55" s="1"/>
  <c r="AM207" i="55" s="1"/>
  <c r="AN207" i="55" s="1"/>
  <c r="AO207" i="55" s="1"/>
  <c r="AP207" i="55" s="1"/>
  <c r="Q196" i="55"/>
  <c r="N22" i="47" s="1"/>
  <c r="Q201" i="55"/>
  <c r="N23" i="47" s="1"/>
  <c r="Q202" i="55"/>
  <c r="R202" i="55" s="1"/>
  <c r="S202" i="55" s="1"/>
  <c r="T202" i="55" s="1"/>
  <c r="U202" i="55" s="1"/>
  <c r="V202" i="55" s="1"/>
  <c r="W202" i="55" s="1"/>
  <c r="X202" i="55" s="1"/>
  <c r="Y202" i="55" s="1"/>
  <c r="Z202" i="55" s="1"/>
  <c r="AA202" i="55" s="1"/>
  <c r="AB202" i="55" s="1"/>
  <c r="AC202" i="55" s="1"/>
  <c r="AD202" i="55" s="1"/>
  <c r="AE202" i="55" s="1"/>
  <c r="AF202" i="55" s="1"/>
  <c r="AG202" i="55" s="1"/>
  <c r="AH202" i="55" s="1"/>
  <c r="AI202" i="55" s="1"/>
  <c r="AJ202" i="55" s="1"/>
  <c r="AK202" i="55" s="1"/>
  <c r="AL202" i="55" s="1"/>
  <c r="AM202" i="55" s="1"/>
  <c r="AN202" i="55" s="1"/>
  <c r="AO202" i="55" s="1"/>
  <c r="AP202" i="55" s="1"/>
  <c r="Q208" i="55"/>
  <c r="R208" i="55" s="1"/>
  <c r="S208" i="55" s="1"/>
  <c r="T208" i="55" s="1"/>
  <c r="U208" i="55" s="1"/>
  <c r="V208" i="55" s="1"/>
  <c r="W208" i="55" s="1"/>
  <c r="X208" i="55" s="1"/>
  <c r="Y208" i="55" s="1"/>
  <c r="Z208" i="55" s="1"/>
  <c r="AA208" i="55" s="1"/>
  <c r="AB208" i="55" s="1"/>
  <c r="AC208" i="55" s="1"/>
  <c r="AD208" i="55" s="1"/>
  <c r="AE208" i="55" s="1"/>
  <c r="AF208" i="55" s="1"/>
  <c r="AG208" i="55" s="1"/>
  <c r="AH208" i="55" s="1"/>
  <c r="AI208" i="55" s="1"/>
  <c r="AJ208" i="55" s="1"/>
  <c r="AK208" i="55" s="1"/>
  <c r="AL208" i="55" s="1"/>
  <c r="AM208" i="55" s="1"/>
  <c r="AN208" i="55" s="1"/>
  <c r="AO208" i="55" s="1"/>
  <c r="AP208" i="55" s="1"/>
  <c r="Q195" i="55"/>
  <c r="P109" i="57"/>
  <c r="P101" i="57"/>
  <c r="P86" i="57"/>
  <c r="I119" i="57"/>
  <c r="I120" i="57"/>
  <c r="I121" i="57"/>
  <c r="O23" i="29"/>
  <c r="P17" i="29"/>
  <c r="P23" i="29" s="1"/>
  <c r="AL67" i="32"/>
  <c r="AM67" i="32" s="1"/>
  <c r="AC67" i="32"/>
  <c r="AD67" i="32" s="1"/>
  <c r="AE67" i="32" s="1"/>
  <c r="AF67" i="32" s="1"/>
  <c r="AG67" i="32" s="1"/>
  <c r="AH67" i="32" s="1"/>
  <c r="AI67" i="32" s="1"/>
  <c r="AJ67" i="32" s="1"/>
  <c r="AK67" i="32" s="1"/>
  <c r="V56" i="57"/>
  <c r="V109" i="57"/>
  <c r="V86" i="57"/>
  <c r="V101" i="57"/>
  <c r="O108" i="57"/>
  <c r="O97" i="57"/>
  <c r="O55" i="57"/>
  <c r="I55" i="57" s="1"/>
  <c r="O81" i="57"/>
  <c r="O24" i="29"/>
  <c r="P18" i="29"/>
  <c r="P24" i="29" s="1"/>
  <c r="U109" i="57"/>
  <c r="U56" i="57"/>
  <c r="U86" i="57"/>
  <c r="U101" i="57"/>
  <c r="AL66" i="32"/>
  <c r="AM66" i="32" s="1"/>
  <c r="AC66" i="32"/>
  <c r="AD66" i="32" s="1"/>
  <c r="AE66" i="32" s="1"/>
  <c r="AF66" i="32" s="1"/>
  <c r="AG66" i="32" s="1"/>
  <c r="AH66" i="32" s="1"/>
  <c r="AI66" i="32" s="1"/>
  <c r="AJ66" i="32" s="1"/>
  <c r="AK66" i="32" s="1"/>
  <c r="AO30" i="55"/>
  <c r="AP30" i="55" s="1"/>
  <c r="AL69" i="32"/>
  <c r="AM69" i="32" s="1"/>
  <c r="AC69" i="32"/>
  <c r="AD69" i="32" s="1"/>
  <c r="AE69" i="32" s="1"/>
  <c r="AF69" i="32" s="1"/>
  <c r="AG69" i="32" s="1"/>
  <c r="AH69" i="32" s="1"/>
  <c r="AI69" i="32" s="1"/>
  <c r="AJ69" i="32" s="1"/>
  <c r="AK69" i="32" s="1"/>
  <c r="H124" i="57"/>
  <c r="H123" i="57"/>
  <c r="H125" i="57"/>
  <c r="AN65" i="32"/>
  <c r="AO65" i="32" s="1"/>
  <c r="AP65" i="32" s="1"/>
  <c r="H120" i="57"/>
  <c r="H121" i="57"/>
  <c r="H119" i="57"/>
  <c r="U7" i="56"/>
  <c r="O43" i="56"/>
  <c r="O48" i="56"/>
  <c r="O60" i="56"/>
  <c r="AN64" i="32"/>
  <c r="AO64" i="32" s="1"/>
  <c r="AP64" i="32" s="1"/>
  <c r="AP38" i="32"/>
  <c r="AP18" i="32"/>
  <c r="G110" i="57"/>
  <c r="G111" i="57" s="1"/>
  <c r="G51" i="57"/>
  <c r="W55" i="57"/>
  <c r="W108" i="57"/>
  <c r="W97" i="57"/>
  <c r="W81" i="57"/>
  <c r="AN67" i="32"/>
  <c r="AO67" i="32" s="1"/>
  <c r="AP67" i="32" s="1"/>
  <c r="X7" i="56"/>
  <c r="Q47" i="57" s="1"/>
  <c r="N55" i="57"/>
  <c r="N81" i="57"/>
  <c r="N97" i="57"/>
  <c r="N108" i="57"/>
  <c r="H51" i="57"/>
  <c r="H110" i="57"/>
  <c r="H111" i="57" s="1"/>
  <c r="G248" i="57" s="1"/>
  <c r="Q108" i="57"/>
  <c r="Q97" i="57"/>
  <c r="Q81" i="57"/>
  <c r="Q55" i="57"/>
  <c r="K55" i="57" s="1"/>
  <c r="AN69" i="32"/>
  <c r="AO69" i="32" s="1"/>
  <c r="AP69" i="32" s="1"/>
  <c r="H115" i="57"/>
  <c r="H117" i="57"/>
  <c r="H116" i="57"/>
  <c r="T55" i="57"/>
  <c r="T97" i="57"/>
  <c r="T81" i="57"/>
  <c r="T108" i="57"/>
  <c r="W7" i="56"/>
  <c r="V47" i="57" s="1"/>
  <c r="AN68" i="32"/>
  <c r="AO68" i="32" s="1"/>
  <c r="AP68" i="32" s="1"/>
  <c r="R31" i="55"/>
  <c r="N129" i="47"/>
  <c r="K123" i="57"/>
  <c r="K124" i="57"/>
  <c r="J49" i="57"/>
  <c r="J50" i="57" s="1"/>
  <c r="AN66" i="32"/>
  <c r="AO66" i="32" s="1"/>
  <c r="AP66" i="32" s="1"/>
  <c r="Q185" i="55"/>
  <c r="R185" i="55" s="1"/>
  <c r="S185" i="55" s="1"/>
  <c r="T185" i="55" s="1"/>
  <c r="U185" i="55" s="1"/>
  <c r="V185" i="55" s="1"/>
  <c r="W185" i="55" s="1"/>
  <c r="X185" i="55" s="1"/>
  <c r="Y185" i="55" s="1"/>
  <c r="Z185" i="55" s="1"/>
  <c r="AA185" i="55" s="1"/>
  <c r="AB185" i="55" s="1"/>
  <c r="AC185" i="55" s="1"/>
  <c r="AD185" i="55" s="1"/>
  <c r="AE185" i="55" s="1"/>
  <c r="AF185" i="55" s="1"/>
  <c r="AG185" i="55" s="1"/>
  <c r="AH185" i="55" s="1"/>
  <c r="AI185" i="55" s="1"/>
  <c r="AJ185" i="55" s="1"/>
  <c r="AK185" i="55" s="1"/>
  <c r="AL185" i="55" s="1"/>
  <c r="AM185" i="55" s="1"/>
  <c r="AN185" i="55" s="1"/>
  <c r="Q188" i="55"/>
  <c r="R188" i="55" s="1"/>
  <c r="S188" i="55" s="1"/>
  <c r="T188" i="55" s="1"/>
  <c r="U188" i="55" s="1"/>
  <c r="V188" i="55" s="1"/>
  <c r="W188" i="55" s="1"/>
  <c r="X188" i="55" s="1"/>
  <c r="Y188" i="55" s="1"/>
  <c r="Z188" i="55" s="1"/>
  <c r="AA188" i="55" s="1"/>
  <c r="AB188" i="55" s="1"/>
  <c r="AC188" i="55" s="1"/>
  <c r="AD188" i="55" s="1"/>
  <c r="AE188" i="55" s="1"/>
  <c r="AF188" i="55" s="1"/>
  <c r="AG188" i="55" s="1"/>
  <c r="AH188" i="55" s="1"/>
  <c r="AI188" i="55" s="1"/>
  <c r="AJ188" i="55" s="1"/>
  <c r="AK188" i="55" s="1"/>
  <c r="AL188" i="55" s="1"/>
  <c r="AM188" i="55" s="1"/>
  <c r="AN188" i="55" s="1"/>
  <c r="Q175" i="55"/>
  <c r="R175" i="55" s="1"/>
  <c r="S175" i="55" s="1"/>
  <c r="T175" i="55" s="1"/>
  <c r="U175" i="55" s="1"/>
  <c r="V175" i="55" s="1"/>
  <c r="W175" i="55" s="1"/>
  <c r="X175" i="55" s="1"/>
  <c r="Y175" i="55" s="1"/>
  <c r="Z175" i="55" s="1"/>
  <c r="AA175" i="55" s="1"/>
  <c r="AB175" i="55" s="1"/>
  <c r="AC175" i="55" s="1"/>
  <c r="AD175" i="55" s="1"/>
  <c r="AE175" i="55" s="1"/>
  <c r="AF175" i="55" s="1"/>
  <c r="AG175" i="55" s="1"/>
  <c r="AH175" i="55" s="1"/>
  <c r="AI175" i="55" s="1"/>
  <c r="AJ175" i="55" s="1"/>
  <c r="AK175" i="55" s="1"/>
  <c r="AL175" i="55" s="1"/>
  <c r="AM175" i="55" s="1"/>
  <c r="AN175" i="55" s="1"/>
  <c r="Q187" i="55"/>
  <c r="R187" i="55" s="1"/>
  <c r="S187" i="55" s="1"/>
  <c r="T187" i="55" s="1"/>
  <c r="U187" i="55" s="1"/>
  <c r="V187" i="55" s="1"/>
  <c r="W187" i="55" s="1"/>
  <c r="X187" i="55" s="1"/>
  <c r="Y187" i="55" s="1"/>
  <c r="Z187" i="55" s="1"/>
  <c r="AA187" i="55" s="1"/>
  <c r="AB187" i="55" s="1"/>
  <c r="AC187" i="55" s="1"/>
  <c r="AD187" i="55" s="1"/>
  <c r="AE187" i="55" s="1"/>
  <c r="AF187" i="55" s="1"/>
  <c r="AG187" i="55" s="1"/>
  <c r="AH187" i="55" s="1"/>
  <c r="AI187" i="55" s="1"/>
  <c r="AJ187" i="55" s="1"/>
  <c r="AK187" i="55" s="1"/>
  <c r="AL187" i="55" s="1"/>
  <c r="AM187" i="55" s="1"/>
  <c r="AN187" i="55" s="1"/>
  <c r="Q189" i="55"/>
  <c r="R189" i="55" s="1"/>
  <c r="S189" i="55" s="1"/>
  <c r="T189" i="55" s="1"/>
  <c r="U189" i="55" s="1"/>
  <c r="V189" i="55" s="1"/>
  <c r="W189" i="55" s="1"/>
  <c r="X189" i="55" s="1"/>
  <c r="Y189" i="55" s="1"/>
  <c r="Z189" i="55" s="1"/>
  <c r="AA189" i="55" s="1"/>
  <c r="AB189" i="55" s="1"/>
  <c r="AC189" i="55" s="1"/>
  <c r="AD189" i="55" s="1"/>
  <c r="AE189" i="55" s="1"/>
  <c r="AF189" i="55" s="1"/>
  <c r="AG189" i="55" s="1"/>
  <c r="AH189" i="55" s="1"/>
  <c r="AI189" i="55" s="1"/>
  <c r="AJ189" i="55" s="1"/>
  <c r="AK189" i="55" s="1"/>
  <c r="AL189" i="55" s="1"/>
  <c r="AM189" i="55" s="1"/>
  <c r="AN189" i="55" s="1"/>
  <c r="Q180" i="55"/>
  <c r="R180" i="55" s="1"/>
  <c r="S180" i="55" s="1"/>
  <c r="T180" i="55" s="1"/>
  <c r="U180" i="55" s="1"/>
  <c r="V180" i="55" s="1"/>
  <c r="W180" i="55" s="1"/>
  <c r="X180" i="55" s="1"/>
  <c r="Y180" i="55" s="1"/>
  <c r="Z180" i="55" s="1"/>
  <c r="AA180" i="55" s="1"/>
  <c r="AB180" i="55" s="1"/>
  <c r="AC180" i="55" s="1"/>
  <c r="AD180" i="55" s="1"/>
  <c r="AE180" i="55" s="1"/>
  <c r="AF180" i="55" s="1"/>
  <c r="AG180" i="55" s="1"/>
  <c r="AH180" i="55" s="1"/>
  <c r="AI180" i="55" s="1"/>
  <c r="AJ180" i="55" s="1"/>
  <c r="AK180" i="55" s="1"/>
  <c r="AL180" i="55" s="1"/>
  <c r="AM180" i="55" s="1"/>
  <c r="AN180" i="55" s="1"/>
  <c r="Q181" i="55"/>
  <c r="R181" i="55" s="1"/>
  <c r="S181" i="55" s="1"/>
  <c r="T181" i="55" s="1"/>
  <c r="U181" i="55" s="1"/>
  <c r="V181" i="55" s="1"/>
  <c r="W181" i="55" s="1"/>
  <c r="X181" i="55" s="1"/>
  <c r="Y181" i="55" s="1"/>
  <c r="Z181" i="55" s="1"/>
  <c r="AA181" i="55" s="1"/>
  <c r="AB181" i="55" s="1"/>
  <c r="AC181" i="55" s="1"/>
  <c r="AD181" i="55" s="1"/>
  <c r="AE181" i="55" s="1"/>
  <c r="AF181" i="55" s="1"/>
  <c r="AG181" i="55" s="1"/>
  <c r="AH181" i="55" s="1"/>
  <c r="AI181" i="55" s="1"/>
  <c r="AJ181" i="55" s="1"/>
  <c r="AK181" i="55" s="1"/>
  <c r="AL181" i="55" s="1"/>
  <c r="AM181" i="55" s="1"/>
  <c r="AN181" i="55" s="1"/>
  <c r="Q174" i="55"/>
  <c r="R174" i="55" s="1"/>
  <c r="S174" i="55" s="1"/>
  <c r="T174" i="55" s="1"/>
  <c r="U174" i="55" s="1"/>
  <c r="V174" i="55" s="1"/>
  <c r="W174" i="55" s="1"/>
  <c r="X174" i="55" s="1"/>
  <c r="Y174" i="55" s="1"/>
  <c r="Z174" i="55" s="1"/>
  <c r="AA174" i="55" s="1"/>
  <c r="AB174" i="55" s="1"/>
  <c r="AC174" i="55" s="1"/>
  <c r="AD174" i="55" s="1"/>
  <c r="AE174" i="55" s="1"/>
  <c r="AF174" i="55" s="1"/>
  <c r="AG174" i="55" s="1"/>
  <c r="AH174" i="55" s="1"/>
  <c r="AI174" i="55" s="1"/>
  <c r="AJ174" i="55" s="1"/>
  <c r="AK174" i="55" s="1"/>
  <c r="AL174" i="55" s="1"/>
  <c r="AM174" i="55" s="1"/>
  <c r="AN174" i="55" s="1"/>
  <c r="Q183" i="55"/>
  <c r="R183" i="55" s="1"/>
  <c r="S183" i="55" s="1"/>
  <c r="T183" i="55" s="1"/>
  <c r="U183" i="55" s="1"/>
  <c r="V183" i="55" s="1"/>
  <c r="W183" i="55" s="1"/>
  <c r="X183" i="55" s="1"/>
  <c r="Y183" i="55" s="1"/>
  <c r="Z183" i="55" s="1"/>
  <c r="AA183" i="55" s="1"/>
  <c r="AB183" i="55" s="1"/>
  <c r="AC183" i="55" s="1"/>
  <c r="AD183" i="55" s="1"/>
  <c r="AE183" i="55" s="1"/>
  <c r="AF183" i="55" s="1"/>
  <c r="AG183" i="55" s="1"/>
  <c r="AH183" i="55" s="1"/>
  <c r="AI183" i="55" s="1"/>
  <c r="AJ183" i="55" s="1"/>
  <c r="AK183" i="55" s="1"/>
  <c r="AL183" i="55" s="1"/>
  <c r="AM183" i="55" s="1"/>
  <c r="AN183" i="55" s="1"/>
  <c r="Q182" i="55"/>
  <c r="R182" i="55" s="1"/>
  <c r="S182" i="55" s="1"/>
  <c r="T182" i="55" s="1"/>
  <c r="U182" i="55" s="1"/>
  <c r="V182" i="55" s="1"/>
  <c r="W182" i="55" s="1"/>
  <c r="X182" i="55" s="1"/>
  <c r="Y182" i="55" s="1"/>
  <c r="Z182" i="55" s="1"/>
  <c r="AA182" i="55" s="1"/>
  <c r="AB182" i="55" s="1"/>
  <c r="AC182" i="55" s="1"/>
  <c r="AD182" i="55" s="1"/>
  <c r="AE182" i="55" s="1"/>
  <c r="AF182" i="55" s="1"/>
  <c r="AG182" i="55" s="1"/>
  <c r="AH182" i="55" s="1"/>
  <c r="AI182" i="55" s="1"/>
  <c r="AJ182" i="55" s="1"/>
  <c r="AK182" i="55" s="1"/>
  <c r="AL182" i="55" s="1"/>
  <c r="AM182" i="55" s="1"/>
  <c r="AN182" i="55" s="1"/>
  <c r="Q176" i="55"/>
  <c r="R176" i="55" s="1"/>
  <c r="S176" i="55" s="1"/>
  <c r="T176" i="55" s="1"/>
  <c r="U176" i="55" s="1"/>
  <c r="V176" i="55" s="1"/>
  <c r="W176" i="55" s="1"/>
  <c r="X176" i="55" s="1"/>
  <c r="Y176" i="55" s="1"/>
  <c r="Z176" i="55" s="1"/>
  <c r="AA176" i="55" s="1"/>
  <c r="AB176" i="55" s="1"/>
  <c r="AC176" i="55" s="1"/>
  <c r="AD176" i="55" s="1"/>
  <c r="AE176" i="55" s="1"/>
  <c r="AF176" i="55" s="1"/>
  <c r="AG176" i="55" s="1"/>
  <c r="AH176" i="55" s="1"/>
  <c r="AI176" i="55" s="1"/>
  <c r="AJ176" i="55" s="1"/>
  <c r="AK176" i="55" s="1"/>
  <c r="AL176" i="55" s="1"/>
  <c r="AM176" i="55" s="1"/>
  <c r="AN176" i="55" s="1"/>
  <c r="Q178" i="55"/>
  <c r="R178" i="55" s="1"/>
  <c r="S178" i="55" s="1"/>
  <c r="T178" i="55" s="1"/>
  <c r="U178" i="55" s="1"/>
  <c r="V178" i="55" s="1"/>
  <c r="W178" i="55" s="1"/>
  <c r="X178" i="55" s="1"/>
  <c r="Y178" i="55" s="1"/>
  <c r="Z178" i="55" s="1"/>
  <c r="AA178" i="55" s="1"/>
  <c r="AB178" i="55" s="1"/>
  <c r="AC178" i="55" s="1"/>
  <c r="AD178" i="55" s="1"/>
  <c r="AE178" i="55" s="1"/>
  <c r="AF178" i="55" s="1"/>
  <c r="AG178" i="55" s="1"/>
  <c r="AH178" i="55" s="1"/>
  <c r="AI178" i="55" s="1"/>
  <c r="AJ178" i="55" s="1"/>
  <c r="AK178" i="55" s="1"/>
  <c r="AL178" i="55" s="1"/>
  <c r="AM178" i="55" s="1"/>
  <c r="AN178" i="55" s="1"/>
  <c r="Q184" i="55"/>
  <c r="R184" i="55" s="1"/>
  <c r="S184" i="55" s="1"/>
  <c r="T184" i="55" s="1"/>
  <c r="U184" i="55" s="1"/>
  <c r="V184" i="55" s="1"/>
  <c r="W184" i="55" s="1"/>
  <c r="X184" i="55" s="1"/>
  <c r="Y184" i="55" s="1"/>
  <c r="Z184" i="55" s="1"/>
  <c r="AA184" i="55" s="1"/>
  <c r="AB184" i="55" s="1"/>
  <c r="AC184" i="55" s="1"/>
  <c r="AD184" i="55" s="1"/>
  <c r="AE184" i="55" s="1"/>
  <c r="AF184" i="55" s="1"/>
  <c r="AG184" i="55" s="1"/>
  <c r="AH184" i="55" s="1"/>
  <c r="AI184" i="55" s="1"/>
  <c r="AJ184" i="55" s="1"/>
  <c r="AK184" i="55" s="1"/>
  <c r="AL184" i="55" s="1"/>
  <c r="AM184" i="55" s="1"/>
  <c r="AN184" i="55" s="1"/>
  <c r="Q179" i="55"/>
  <c r="R179" i="55" s="1"/>
  <c r="S179" i="55" s="1"/>
  <c r="T179" i="55" s="1"/>
  <c r="U179" i="55" s="1"/>
  <c r="V179" i="55" s="1"/>
  <c r="W179" i="55" s="1"/>
  <c r="X179" i="55" s="1"/>
  <c r="Y179" i="55" s="1"/>
  <c r="Z179" i="55" s="1"/>
  <c r="AA179" i="55" s="1"/>
  <c r="AB179" i="55" s="1"/>
  <c r="AC179" i="55" s="1"/>
  <c r="AD179" i="55" s="1"/>
  <c r="AE179" i="55" s="1"/>
  <c r="AF179" i="55" s="1"/>
  <c r="AG179" i="55" s="1"/>
  <c r="AH179" i="55" s="1"/>
  <c r="AI179" i="55" s="1"/>
  <c r="AJ179" i="55" s="1"/>
  <c r="AK179" i="55" s="1"/>
  <c r="AL179" i="55" s="1"/>
  <c r="AM179" i="55" s="1"/>
  <c r="AN179" i="55" s="1"/>
  <c r="Q177" i="55"/>
  <c r="R177" i="55" s="1"/>
  <c r="S177" i="55" s="1"/>
  <c r="T177" i="55" s="1"/>
  <c r="U177" i="55" s="1"/>
  <c r="V177" i="55" s="1"/>
  <c r="W177" i="55" s="1"/>
  <c r="X177" i="55" s="1"/>
  <c r="Y177" i="55" s="1"/>
  <c r="Z177" i="55" s="1"/>
  <c r="AA177" i="55" s="1"/>
  <c r="AB177" i="55" s="1"/>
  <c r="AC177" i="55" s="1"/>
  <c r="AD177" i="55" s="1"/>
  <c r="AE177" i="55" s="1"/>
  <c r="AF177" i="55" s="1"/>
  <c r="AG177" i="55" s="1"/>
  <c r="AH177" i="55" s="1"/>
  <c r="AI177" i="55" s="1"/>
  <c r="AJ177" i="55" s="1"/>
  <c r="AK177" i="55" s="1"/>
  <c r="AL177" i="55" s="1"/>
  <c r="AM177" i="55" s="1"/>
  <c r="AN177" i="55" s="1"/>
  <c r="Q186" i="55"/>
  <c r="R186" i="55" s="1"/>
  <c r="S186" i="55" s="1"/>
  <c r="T186" i="55" s="1"/>
  <c r="U186" i="55" s="1"/>
  <c r="V186" i="55" s="1"/>
  <c r="W186" i="55" s="1"/>
  <c r="X186" i="55" s="1"/>
  <c r="Y186" i="55" s="1"/>
  <c r="Z186" i="55" s="1"/>
  <c r="AA186" i="55" s="1"/>
  <c r="AB186" i="55" s="1"/>
  <c r="AC186" i="55" s="1"/>
  <c r="AD186" i="55" s="1"/>
  <c r="AE186" i="55" s="1"/>
  <c r="AF186" i="55" s="1"/>
  <c r="AG186" i="55" s="1"/>
  <c r="AH186" i="55" s="1"/>
  <c r="AI186" i="55" s="1"/>
  <c r="AJ186" i="55" s="1"/>
  <c r="AK186" i="55" s="1"/>
  <c r="AL186" i="55" s="1"/>
  <c r="AM186" i="55" s="1"/>
  <c r="AN186" i="55" s="1"/>
  <c r="I115" i="57"/>
  <c r="I117" i="57"/>
  <c r="I116" i="57"/>
  <c r="S33" i="55"/>
  <c r="O130" i="47"/>
  <c r="AL37" i="32"/>
  <c r="H22" i="32"/>
  <c r="H34" i="32" s="1"/>
  <c r="AL25" i="32"/>
  <c r="AL19" i="32" s="1"/>
  <c r="T93" i="57"/>
  <c r="T107" i="57"/>
  <c r="T16" i="57"/>
  <c r="T75" i="57"/>
  <c r="T54" i="57"/>
  <c r="S32" i="55"/>
  <c r="O131" i="47"/>
  <c r="K117" i="57"/>
  <c r="K115" i="57"/>
  <c r="K116" i="57"/>
  <c r="W56" i="57"/>
  <c r="W109" i="57"/>
  <c r="W86" i="57"/>
  <c r="W101" i="57"/>
  <c r="Q32" i="57"/>
  <c r="Q109" i="57" s="1"/>
  <c r="Q16" i="57"/>
  <c r="Q54" i="57"/>
  <c r="Q107" i="57"/>
  <c r="Q75" i="57"/>
  <c r="Q93" i="57"/>
  <c r="Q101" i="57"/>
  <c r="Q86" i="57"/>
  <c r="N107" i="57"/>
  <c r="N75" i="57"/>
  <c r="N93" i="57"/>
  <c r="N54" i="57"/>
  <c r="N16" i="57"/>
  <c r="W93" i="57"/>
  <c r="W16" i="57"/>
  <c r="W75" i="57"/>
  <c r="W54" i="57"/>
  <c r="W107" i="57"/>
  <c r="Q158" i="55"/>
  <c r="N43" i="47" s="1"/>
  <c r="Q162" i="55"/>
  <c r="N49" i="47" s="1"/>
  <c r="Q160" i="55"/>
  <c r="Q161" i="55"/>
  <c r="N45" i="47" s="1"/>
  <c r="Q157" i="55"/>
  <c r="Q155" i="55"/>
  <c r="Q163" i="55"/>
  <c r="Q170" i="55"/>
  <c r="R170" i="55" s="1"/>
  <c r="S170" i="55" s="1"/>
  <c r="T170" i="55" s="1"/>
  <c r="U170" i="55" s="1"/>
  <c r="V170" i="55" s="1"/>
  <c r="W170" i="55" s="1"/>
  <c r="X170" i="55" s="1"/>
  <c r="Y170" i="55" s="1"/>
  <c r="Z170" i="55" s="1"/>
  <c r="AA170" i="55" s="1"/>
  <c r="AB170" i="55" s="1"/>
  <c r="AC170" i="55" s="1"/>
  <c r="AD170" i="55" s="1"/>
  <c r="AE170" i="55" s="1"/>
  <c r="AF170" i="55" s="1"/>
  <c r="AG170" i="55" s="1"/>
  <c r="AH170" i="55" s="1"/>
  <c r="AI170" i="55" s="1"/>
  <c r="AJ170" i="55" s="1"/>
  <c r="AK170" i="55" s="1"/>
  <c r="AL170" i="55" s="1"/>
  <c r="AM170" i="55" s="1"/>
  <c r="AN170" i="55" s="1"/>
  <c r="AO170" i="55" s="1"/>
  <c r="AP170" i="55" s="1"/>
  <c r="Q159" i="55"/>
  <c r="Q156" i="55"/>
  <c r="Q168" i="55"/>
  <c r="R168" i="55" s="1"/>
  <c r="S168" i="55" s="1"/>
  <c r="T168" i="55" s="1"/>
  <c r="U168" i="55" s="1"/>
  <c r="V168" i="55" s="1"/>
  <c r="W168" i="55" s="1"/>
  <c r="X168" i="55" s="1"/>
  <c r="Y168" i="55" s="1"/>
  <c r="Z168" i="55" s="1"/>
  <c r="AA168" i="55" s="1"/>
  <c r="AB168" i="55" s="1"/>
  <c r="AC168" i="55" s="1"/>
  <c r="AD168" i="55" s="1"/>
  <c r="AE168" i="55" s="1"/>
  <c r="AF168" i="55" s="1"/>
  <c r="AG168" i="55" s="1"/>
  <c r="AH168" i="55" s="1"/>
  <c r="AI168" i="55" s="1"/>
  <c r="AJ168" i="55" s="1"/>
  <c r="AK168" i="55" s="1"/>
  <c r="AL168" i="55" s="1"/>
  <c r="AM168" i="55" s="1"/>
  <c r="AN168" i="55" s="1"/>
  <c r="AO168" i="55" s="1"/>
  <c r="AP168" i="55" s="1"/>
  <c r="Q164" i="55"/>
  <c r="R164" i="55" s="1"/>
  <c r="S164" i="55" s="1"/>
  <c r="T164" i="55" s="1"/>
  <c r="U164" i="55" s="1"/>
  <c r="V164" i="55" s="1"/>
  <c r="W164" i="55" s="1"/>
  <c r="X164" i="55" s="1"/>
  <c r="Y164" i="55" s="1"/>
  <c r="Z164" i="55" s="1"/>
  <c r="AA164" i="55" s="1"/>
  <c r="AB164" i="55" s="1"/>
  <c r="AC164" i="55" s="1"/>
  <c r="AD164" i="55" s="1"/>
  <c r="AE164" i="55" s="1"/>
  <c r="AF164" i="55" s="1"/>
  <c r="AG164" i="55" s="1"/>
  <c r="AH164" i="55" s="1"/>
  <c r="AI164" i="55" s="1"/>
  <c r="AJ164" i="55" s="1"/>
  <c r="AK164" i="55" s="1"/>
  <c r="AL164" i="55" s="1"/>
  <c r="AM164" i="55" s="1"/>
  <c r="AN164" i="55" s="1"/>
  <c r="AO164" i="55" s="1"/>
  <c r="AP164" i="55" s="1"/>
  <c r="Q171" i="55"/>
  <c r="R171" i="55" s="1"/>
  <c r="S171" i="55" s="1"/>
  <c r="T171" i="55" s="1"/>
  <c r="U171" i="55" s="1"/>
  <c r="V171" i="55" s="1"/>
  <c r="W171" i="55" s="1"/>
  <c r="X171" i="55" s="1"/>
  <c r="Y171" i="55" s="1"/>
  <c r="Z171" i="55" s="1"/>
  <c r="AA171" i="55" s="1"/>
  <c r="AB171" i="55" s="1"/>
  <c r="AC171" i="55" s="1"/>
  <c r="AD171" i="55" s="1"/>
  <c r="AE171" i="55" s="1"/>
  <c r="AF171" i="55" s="1"/>
  <c r="AG171" i="55" s="1"/>
  <c r="AH171" i="55" s="1"/>
  <c r="AI171" i="55" s="1"/>
  <c r="AJ171" i="55" s="1"/>
  <c r="AK171" i="55" s="1"/>
  <c r="AL171" i="55" s="1"/>
  <c r="AM171" i="55" s="1"/>
  <c r="AN171" i="55" s="1"/>
  <c r="AO171" i="55" s="1"/>
  <c r="AP171" i="55" s="1"/>
  <c r="Q166" i="55"/>
  <c r="R166" i="55" s="1"/>
  <c r="S166" i="55" s="1"/>
  <c r="T166" i="55" s="1"/>
  <c r="U166" i="55" s="1"/>
  <c r="V166" i="55" s="1"/>
  <c r="W166" i="55" s="1"/>
  <c r="X166" i="55" s="1"/>
  <c r="Y166" i="55" s="1"/>
  <c r="Z166" i="55" s="1"/>
  <c r="AA166" i="55" s="1"/>
  <c r="AB166" i="55" s="1"/>
  <c r="AC166" i="55" s="1"/>
  <c r="AD166" i="55" s="1"/>
  <c r="AE166" i="55" s="1"/>
  <c r="AF166" i="55" s="1"/>
  <c r="AG166" i="55" s="1"/>
  <c r="AH166" i="55" s="1"/>
  <c r="AI166" i="55" s="1"/>
  <c r="AJ166" i="55" s="1"/>
  <c r="AK166" i="55" s="1"/>
  <c r="AL166" i="55" s="1"/>
  <c r="AM166" i="55" s="1"/>
  <c r="AN166" i="55" s="1"/>
  <c r="AO166" i="55" s="1"/>
  <c r="AP166" i="55" s="1"/>
  <c r="Q167" i="55"/>
  <c r="R167" i="55" s="1"/>
  <c r="S167" i="55" s="1"/>
  <c r="T167" i="55" s="1"/>
  <c r="U167" i="55" s="1"/>
  <c r="V167" i="55" s="1"/>
  <c r="W167" i="55" s="1"/>
  <c r="X167" i="55" s="1"/>
  <c r="Y167" i="55" s="1"/>
  <c r="Z167" i="55" s="1"/>
  <c r="AA167" i="55" s="1"/>
  <c r="AB167" i="55" s="1"/>
  <c r="AC167" i="55" s="1"/>
  <c r="AD167" i="55" s="1"/>
  <c r="AE167" i="55" s="1"/>
  <c r="AF167" i="55" s="1"/>
  <c r="AG167" i="55" s="1"/>
  <c r="AH167" i="55" s="1"/>
  <c r="AI167" i="55" s="1"/>
  <c r="AJ167" i="55" s="1"/>
  <c r="AK167" i="55" s="1"/>
  <c r="AL167" i="55" s="1"/>
  <c r="AM167" i="55" s="1"/>
  <c r="AN167" i="55" s="1"/>
  <c r="AO167" i="55" s="1"/>
  <c r="AP167" i="55" s="1"/>
  <c r="Q172" i="55"/>
  <c r="R172" i="55" s="1"/>
  <c r="S172" i="55" s="1"/>
  <c r="T172" i="55" s="1"/>
  <c r="U172" i="55" s="1"/>
  <c r="V172" i="55" s="1"/>
  <c r="W172" i="55" s="1"/>
  <c r="X172" i="55" s="1"/>
  <c r="Y172" i="55" s="1"/>
  <c r="Z172" i="55" s="1"/>
  <c r="AA172" i="55" s="1"/>
  <c r="AB172" i="55" s="1"/>
  <c r="AC172" i="55" s="1"/>
  <c r="AD172" i="55" s="1"/>
  <c r="AE172" i="55" s="1"/>
  <c r="AF172" i="55" s="1"/>
  <c r="AG172" i="55" s="1"/>
  <c r="AH172" i="55" s="1"/>
  <c r="AI172" i="55" s="1"/>
  <c r="AJ172" i="55" s="1"/>
  <c r="AK172" i="55" s="1"/>
  <c r="AL172" i="55" s="1"/>
  <c r="AM172" i="55" s="1"/>
  <c r="AN172" i="55" s="1"/>
  <c r="AO172" i="55" s="1"/>
  <c r="AP172" i="55" s="1"/>
  <c r="Q169" i="55"/>
  <c r="R169" i="55" s="1"/>
  <c r="S169" i="55" s="1"/>
  <c r="T169" i="55" s="1"/>
  <c r="U169" i="55" s="1"/>
  <c r="V169" i="55" s="1"/>
  <c r="W169" i="55" s="1"/>
  <c r="X169" i="55" s="1"/>
  <c r="Y169" i="55" s="1"/>
  <c r="Z169" i="55" s="1"/>
  <c r="AA169" i="55" s="1"/>
  <c r="AB169" i="55" s="1"/>
  <c r="AC169" i="55" s="1"/>
  <c r="AD169" i="55" s="1"/>
  <c r="AE169" i="55" s="1"/>
  <c r="AF169" i="55" s="1"/>
  <c r="AG169" i="55" s="1"/>
  <c r="AH169" i="55" s="1"/>
  <c r="AI169" i="55" s="1"/>
  <c r="AJ169" i="55" s="1"/>
  <c r="AK169" i="55" s="1"/>
  <c r="AL169" i="55" s="1"/>
  <c r="AM169" i="55" s="1"/>
  <c r="AN169" i="55" s="1"/>
  <c r="AO169" i="55" s="1"/>
  <c r="AP169" i="55" s="1"/>
  <c r="Q165" i="55"/>
  <c r="I47" i="56"/>
  <c r="I46" i="56"/>
  <c r="J48" i="56"/>
  <c r="S37" i="55"/>
  <c r="O134" i="47"/>
  <c r="O88" i="56"/>
  <c r="U88" i="56" s="1"/>
  <c r="I88" i="56"/>
  <c r="J104" i="56"/>
  <c r="AO173" i="55"/>
  <c r="AN63" i="32"/>
  <c r="AO63" i="32" s="1"/>
  <c r="AP63" i="32" s="1"/>
  <c r="AM63" i="32"/>
  <c r="T28" i="55"/>
  <c r="P127" i="47"/>
  <c r="AL38" i="32"/>
  <c r="H23" i="32"/>
  <c r="AL18" i="32"/>
  <c r="Q221" i="55"/>
  <c r="R221" i="55" s="1"/>
  <c r="S221" i="55" s="1"/>
  <c r="T221" i="55" s="1"/>
  <c r="U221" i="55" s="1"/>
  <c r="V221" i="55" s="1"/>
  <c r="W221" i="55" s="1"/>
  <c r="X221" i="55" s="1"/>
  <c r="Y221" i="55" s="1"/>
  <c r="Z221" i="55" s="1"/>
  <c r="AA221" i="55" s="1"/>
  <c r="AB221" i="55" s="1"/>
  <c r="AC221" i="55" s="1"/>
  <c r="AD221" i="55" s="1"/>
  <c r="AE221" i="55" s="1"/>
  <c r="AF221" i="55" s="1"/>
  <c r="AG221" i="55" s="1"/>
  <c r="AH221" i="55" s="1"/>
  <c r="AI221" i="55" s="1"/>
  <c r="AJ221" i="55" s="1"/>
  <c r="AK221" i="55" s="1"/>
  <c r="AL221" i="55" s="1"/>
  <c r="AM221" i="55" s="1"/>
  <c r="AN221" i="55" s="1"/>
  <c r="Q213" i="55"/>
  <c r="R213" i="55" s="1"/>
  <c r="S213" i="55" s="1"/>
  <c r="T213" i="55" s="1"/>
  <c r="U213" i="55" s="1"/>
  <c r="V213" i="55" s="1"/>
  <c r="W213" i="55" s="1"/>
  <c r="X213" i="55" s="1"/>
  <c r="Y213" i="55" s="1"/>
  <c r="Z213" i="55" s="1"/>
  <c r="AA213" i="55" s="1"/>
  <c r="AB213" i="55" s="1"/>
  <c r="AC213" i="55" s="1"/>
  <c r="AD213" i="55" s="1"/>
  <c r="AE213" i="55" s="1"/>
  <c r="AF213" i="55" s="1"/>
  <c r="AG213" i="55" s="1"/>
  <c r="AH213" i="55" s="1"/>
  <c r="AI213" i="55" s="1"/>
  <c r="AJ213" i="55" s="1"/>
  <c r="AK213" i="55" s="1"/>
  <c r="AL213" i="55" s="1"/>
  <c r="AM213" i="55" s="1"/>
  <c r="AN213" i="55" s="1"/>
  <c r="Q222" i="55"/>
  <c r="R222" i="55" s="1"/>
  <c r="S222" i="55" s="1"/>
  <c r="T222" i="55" s="1"/>
  <c r="U222" i="55" s="1"/>
  <c r="V222" i="55" s="1"/>
  <c r="W222" i="55" s="1"/>
  <c r="X222" i="55" s="1"/>
  <c r="Y222" i="55" s="1"/>
  <c r="Z222" i="55" s="1"/>
  <c r="AA222" i="55" s="1"/>
  <c r="AB222" i="55" s="1"/>
  <c r="AC222" i="55" s="1"/>
  <c r="AD222" i="55" s="1"/>
  <c r="AE222" i="55" s="1"/>
  <c r="AF222" i="55" s="1"/>
  <c r="AG222" i="55" s="1"/>
  <c r="AH222" i="55" s="1"/>
  <c r="AI222" i="55" s="1"/>
  <c r="AJ222" i="55" s="1"/>
  <c r="AK222" i="55" s="1"/>
  <c r="AL222" i="55" s="1"/>
  <c r="AM222" i="55" s="1"/>
  <c r="AN222" i="55" s="1"/>
  <c r="Q224" i="55"/>
  <c r="R224" i="55" s="1"/>
  <c r="S224" i="55" s="1"/>
  <c r="T224" i="55" s="1"/>
  <c r="U224" i="55" s="1"/>
  <c r="V224" i="55" s="1"/>
  <c r="W224" i="55" s="1"/>
  <c r="X224" i="55" s="1"/>
  <c r="Y224" i="55" s="1"/>
  <c r="Z224" i="55" s="1"/>
  <c r="AA224" i="55" s="1"/>
  <c r="AB224" i="55" s="1"/>
  <c r="AC224" i="55" s="1"/>
  <c r="AD224" i="55" s="1"/>
  <c r="AE224" i="55" s="1"/>
  <c r="AF224" i="55" s="1"/>
  <c r="AG224" i="55" s="1"/>
  <c r="AH224" i="55" s="1"/>
  <c r="AI224" i="55" s="1"/>
  <c r="AJ224" i="55" s="1"/>
  <c r="AK224" i="55" s="1"/>
  <c r="AL224" i="55" s="1"/>
  <c r="AM224" i="55" s="1"/>
  <c r="AN224" i="55" s="1"/>
  <c r="Q215" i="55"/>
  <c r="R215" i="55" s="1"/>
  <c r="S215" i="55" s="1"/>
  <c r="T215" i="55" s="1"/>
  <c r="U215" i="55" s="1"/>
  <c r="V215" i="55" s="1"/>
  <c r="W215" i="55" s="1"/>
  <c r="X215" i="55" s="1"/>
  <c r="Y215" i="55" s="1"/>
  <c r="Z215" i="55" s="1"/>
  <c r="AA215" i="55" s="1"/>
  <c r="AB215" i="55" s="1"/>
  <c r="AC215" i="55" s="1"/>
  <c r="AD215" i="55" s="1"/>
  <c r="AE215" i="55" s="1"/>
  <c r="AF215" i="55" s="1"/>
  <c r="AG215" i="55" s="1"/>
  <c r="AH215" i="55" s="1"/>
  <c r="AI215" i="55" s="1"/>
  <c r="AJ215" i="55" s="1"/>
  <c r="AK215" i="55" s="1"/>
  <c r="AL215" i="55" s="1"/>
  <c r="AM215" i="55" s="1"/>
  <c r="AN215" i="55" s="1"/>
  <c r="Q217" i="55"/>
  <c r="R217" i="55" s="1"/>
  <c r="S217" i="55" s="1"/>
  <c r="T217" i="55" s="1"/>
  <c r="U217" i="55" s="1"/>
  <c r="V217" i="55" s="1"/>
  <c r="W217" i="55" s="1"/>
  <c r="X217" i="55" s="1"/>
  <c r="Y217" i="55" s="1"/>
  <c r="Z217" i="55" s="1"/>
  <c r="AA217" i="55" s="1"/>
  <c r="AB217" i="55" s="1"/>
  <c r="AC217" i="55" s="1"/>
  <c r="AD217" i="55" s="1"/>
  <c r="AE217" i="55" s="1"/>
  <c r="AF217" i="55" s="1"/>
  <c r="AG217" i="55" s="1"/>
  <c r="AH217" i="55" s="1"/>
  <c r="AI217" i="55" s="1"/>
  <c r="AJ217" i="55" s="1"/>
  <c r="AK217" i="55" s="1"/>
  <c r="AL217" i="55" s="1"/>
  <c r="AM217" i="55" s="1"/>
  <c r="AN217" i="55" s="1"/>
  <c r="Q214" i="55"/>
  <c r="R214" i="55" s="1"/>
  <c r="S214" i="55" s="1"/>
  <c r="T214" i="55" s="1"/>
  <c r="U214" i="55" s="1"/>
  <c r="V214" i="55" s="1"/>
  <c r="W214" i="55" s="1"/>
  <c r="X214" i="55" s="1"/>
  <c r="Y214" i="55" s="1"/>
  <c r="Z214" i="55" s="1"/>
  <c r="AA214" i="55" s="1"/>
  <c r="AB214" i="55" s="1"/>
  <c r="AC214" i="55" s="1"/>
  <c r="AD214" i="55" s="1"/>
  <c r="AE214" i="55" s="1"/>
  <c r="AF214" i="55" s="1"/>
  <c r="AG214" i="55" s="1"/>
  <c r="AH214" i="55" s="1"/>
  <c r="AI214" i="55" s="1"/>
  <c r="AJ214" i="55" s="1"/>
  <c r="AK214" i="55" s="1"/>
  <c r="AL214" i="55" s="1"/>
  <c r="AM214" i="55" s="1"/>
  <c r="AN214" i="55" s="1"/>
  <c r="Q219" i="55"/>
  <c r="R219" i="55" s="1"/>
  <c r="S219" i="55" s="1"/>
  <c r="T219" i="55" s="1"/>
  <c r="U219" i="55" s="1"/>
  <c r="V219" i="55" s="1"/>
  <c r="W219" i="55" s="1"/>
  <c r="X219" i="55" s="1"/>
  <c r="Y219" i="55" s="1"/>
  <c r="Z219" i="55" s="1"/>
  <c r="AA219" i="55" s="1"/>
  <c r="AB219" i="55" s="1"/>
  <c r="AC219" i="55" s="1"/>
  <c r="AD219" i="55" s="1"/>
  <c r="AE219" i="55" s="1"/>
  <c r="AF219" i="55" s="1"/>
  <c r="AG219" i="55" s="1"/>
  <c r="AH219" i="55" s="1"/>
  <c r="AI219" i="55" s="1"/>
  <c r="AJ219" i="55" s="1"/>
  <c r="AK219" i="55" s="1"/>
  <c r="AL219" i="55" s="1"/>
  <c r="AM219" i="55" s="1"/>
  <c r="AN219" i="55" s="1"/>
  <c r="Q227" i="55"/>
  <c r="R227" i="55" s="1"/>
  <c r="S227" i="55" s="1"/>
  <c r="T227" i="55" s="1"/>
  <c r="U227" i="55" s="1"/>
  <c r="V227" i="55" s="1"/>
  <c r="W227" i="55" s="1"/>
  <c r="X227" i="55" s="1"/>
  <c r="Y227" i="55" s="1"/>
  <c r="Z227" i="55" s="1"/>
  <c r="AA227" i="55" s="1"/>
  <c r="AB227" i="55" s="1"/>
  <c r="AC227" i="55" s="1"/>
  <c r="AD227" i="55" s="1"/>
  <c r="AE227" i="55" s="1"/>
  <c r="AF227" i="55" s="1"/>
  <c r="AG227" i="55" s="1"/>
  <c r="AH227" i="55" s="1"/>
  <c r="AI227" i="55" s="1"/>
  <c r="AJ227" i="55" s="1"/>
  <c r="AK227" i="55" s="1"/>
  <c r="AL227" i="55" s="1"/>
  <c r="AM227" i="55" s="1"/>
  <c r="AN227" i="55" s="1"/>
  <c r="Q226" i="55"/>
  <c r="R226" i="55" s="1"/>
  <c r="S226" i="55" s="1"/>
  <c r="T226" i="55" s="1"/>
  <c r="U226" i="55" s="1"/>
  <c r="V226" i="55" s="1"/>
  <c r="W226" i="55" s="1"/>
  <c r="X226" i="55" s="1"/>
  <c r="Y226" i="55" s="1"/>
  <c r="Z226" i="55" s="1"/>
  <c r="AA226" i="55" s="1"/>
  <c r="AB226" i="55" s="1"/>
  <c r="AC226" i="55" s="1"/>
  <c r="AD226" i="55" s="1"/>
  <c r="AE226" i="55" s="1"/>
  <c r="AF226" i="55" s="1"/>
  <c r="AG226" i="55" s="1"/>
  <c r="AH226" i="55" s="1"/>
  <c r="AI226" i="55" s="1"/>
  <c r="AJ226" i="55" s="1"/>
  <c r="AK226" i="55" s="1"/>
  <c r="AL226" i="55" s="1"/>
  <c r="AM226" i="55" s="1"/>
  <c r="AN226" i="55" s="1"/>
  <c r="Q220" i="55"/>
  <c r="R220" i="55" s="1"/>
  <c r="S220" i="55" s="1"/>
  <c r="T220" i="55" s="1"/>
  <c r="U220" i="55" s="1"/>
  <c r="V220" i="55" s="1"/>
  <c r="W220" i="55" s="1"/>
  <c r="X220" i="55" s="1"/>
  <c r="Y220" i="55" s="1"/>
  <c r="Z220" i="55" s="1"/>
  <c r="AA220" i="55" s="1"/>
  <c r="AB220" i="55" s="1"/>
  <c r="AC220" i="55" s="1"/>
  <c r="AD220" i="55" s="1"/>
  <c r="AE220" i="55" s="1"/>
  <c r="AF220" i="55" s="1"/>
  <c r="AG220" i="55" s="1"/>
  <c r="AH220" i="55" s="1"/>
  <c r="AI220" i="55" s="1"/>
  <c r="AJ220" i="55" s="1"/>
  <c r="AK220" i="55" s="1"/>
  <c r="AL220" i="55" s="1"/>
  <c r="AM220" i="55" s="1"/>
  <c r="AN220" i="55" s="1"/>
  <c r="Q218" i="55"/>
  <c r="R218" i="55" s="1"/>
  <c r="S218" i="55" s="1"/>
  <c r="T218" i="55" s="1"/>
  <c r="U218" i="55" s="1"/>
  <c r="V218" i="55" s="1"/>
  <c r="W218" i="55" s="1"/>
  <c r="X218" i="55" s="1"/>
  <c r="Y218" i="55" s="1"/>
  <c r="Z218" i="55" s="1"/>
  <c r="AA218" i="55" s="1"/>
  <c r="AB218" i="55" s="1"/>
  <c r="AC218" i="55" s="1"/>
  <c r="AD218" i="55" s="1"/>
  <c r="AE218" i="55" s="1"/>
  <c r="AF218" i="55" s="1"/>
  <c r="AG218" i="55" s="1"/>
  <c r="AH218" i="55" s="1"/>
  <c r="AI218" i="55" s="1"/>
  <c r="AJ218" i="55" s="1"/>
  <c r="AK218" i="55" s="1"/>
  <c r="AL218" i="55" s="1"/>
  <c r="AM218" i="55" s="1"/>
  <c r="AN218" i="55" s="1"/>
  <c r="Q229" i="55"/>
  <c r="R229" i="55" s="1"/>
  <c r="S229" i="55" s="1"/>
  <c r="T229" i="55" s="1"/>
  <c r="U229" i="55" s="1"/>
  <c r="V229" i="55" s="1"/>
  <c r="W229" i="55" s="1"/>
  <c r="X229" i="55" s="1"/>
  <c r="Y229" i="55" s="1"/>
  <c r="Z229" i="55" s="1"/>
  <c r="AA229" i="55" s="1"/>
  <c r="AB229" i="55" s="1"/>
  <c r="AC229" i="55" s="1"/>
  <c r="AD229" i="55" s="1"/>
  <c r="AE229" i="55" s="1"/>
  <c r="AF229" i="55" s="1"/>
  <c r="AG229" i="55" s="1"/>
  <c r="AH229" i="55" s="1"/>
  <c r="AI229" i="55" s="1"/>
  <c r="AJ229" i="55" s="1"/>
  <c r="AK229" i="55" s="1"/>
  <c r="AL229" i="55" s="1"/>
  <c r="AM229" i="55" s="1"/>
  <c r="AN229" i="55" s="1"/>
  <c r="Q225" i="55"/>
  <c r="R225" i="55" s="1"/>
  <c r="S225" i="55" s="1"/>
  <c r="T225" i="55" s="1"/>
  <c r="U225" i="55" s="1"/>
  <c r="V225" i="55" s="1"/>
  <c r="W225" i="55" s="1"/>
  <c r="X225" i="55" s="1"/>
  <c r="Y225" i="55" s="1"/>
  <c r="Z225" i="55" s="1"/>
  <c r="AA225" i="55" s="1"/>
  <c r="AB225" i="55" s="1"/>
  <c r="AC225" i="55" s="1"/>
  <c r="AD225" i="55" s="1"/>
  <c r="AE225" i="55" s="1"/>
  <c r="AF225" i="55" s="1"/>
  <c r="AG225" i="55" s="1"/>
  <c r="AH225" i="55" s="1"/>
  <c r="AI225" i="55" s="1"/>
  <c r="AJ225" i="55" s="1"/>
  <c r="AK225" i="55" s="1"/>
  <c r="AL225" i="55" s="1"/>
  <c r="AM225" i="55" s="1"/>
  <c r="AN225" i="55" s="1"/>
  <c r="Q212" i="55"/>
  <c r="R212" i="55" s="1"/>
  <c r="S212" i="55" s="1"/>
  <c r="T212" i="55" s="1"/>
  <c r="U212" i="55" s="1"/>
  <c r="V212" i="55" s="1"/>
  <c r="W212" i="55" s="1"/>
  <c r="X212" i="55" s="1"/>
  <c r="Y212" i="55" s="1"/>
  <c r="Z212" i="55" s="1"/>
  <c r="AA212" i="55" s="1"/>
  <c r="AB212" i="55" s="1"/>
  <c r="AC212" i="55" s="1"/>
  <c r="AD212" i="55" s="1"/>
  <c r="AE212" i="55" s="1"/>
  <c r="AF212" i="55" s="1"/>
  <c r="AG212" i="55" s="1"/>
  <c r="AH212" i="55" s="1"/>
  <c r="AI212" i="55" s="1"/>
  <c r="AJ212" i="55" s="1"/>
  <c r="AK212" i="55" s="1"/>
  <c r="AL212" i="55" s="1"/>
  <c r="AM212" i="55" s="1"/>
  <c r="AN212" i="55" s="1"/>
  <c r="Q228" i="55"/>
  <c r="R228" i="55" s="1"/>
  <c r="S228" i="55" s="1"/>
  <c r="T228" i="55" s="1"/>
  <c r="U228" i="55" s="1"/>
  <c r="V228" i="55" s="1"/>
  <c r="W228" i="55" s="1"/>
  <c r="X228" i="55" s="1"/>
  <c r="Y228" i="55" s="1"/>
  <c r="Z228" i="55" s="1"/>
  <c r="AA228" i="55" s="1"/>
  <c r="AB228" i="55" s="1"/>
  <c r="AC228" i="55" s="1"/>
  <c r="AD228" i="55" s="1"/>
  <c r="AE228" i="55" s="1"/>
  <c r="AF228" i="55" s="1"/>
  <c r="AG228" i="55" s="1"/>
  <c r="AH228" i="55" s="1"/>
  <c r="AI228" i="55" s="1"/>
  <c r="AJ228" i="55" s="1"/>
  <c r="AK228" i="55" s="1"/>
  <c r="AL228" i="55" s="1"/>
  <c r="AM228" i="55" s="1"/>
  <c r="AN228" i="55" s="1"/>
  <c r="Q223" i="55"/>
  <c r="R223" i="55" s="1"/>
  <c r="S223" i="55" s="1"/>
  <c r="T223" i="55" s="1"/>
  <c r="U223" i="55" s="1"/>
  <c r="V223" i="55" s="1"/>
  <c r="W223" i="55" s="1"/>
  <c r="X223" i="55" s="1"/>
  <c r="Y223" i="55" s="1"/>
  <c r="Z223" i="55" s="1"/>
  <c r="AA223" i="55" s="1"/>
  <c r="AB223" i="55" s="1"/>
  <c r="AC223" i="55" s="1"/>
  <c r="AD223" i="55" s="1"/>
  <c r="AE223" i="55" s="1"/>
  <c r="AF223" i="55" s="1"/>
  <c r="AG223" i="55" s="1"/>
  <c r="AH223" i="55" s="1"/>
  <c r="AI223" i="55" s="1"/>
  <c r="AJ223" i="55" s="1"/>
  <c r="AK223" i="55" s="1"/>
  <c r="AL223" i="55" s="1"/>
  <c r="AM223" i="55" s="1"/>
  <c r="AN223" i="55" s="1"/>
  <c r="Q216" i="55"/>
  <c r="R216" i="55" s="1"/>
  <c r="S216" i="55" s="1"/>
  <c r="T216" i="55" s="1"/>
  <c r="U216" i="55" s="1"/>
  <c r="V216" i="55" s="1"/>
  <c r="W216" i="55" s="1"/>
  <c r="X216" i="55" s="1"/>
  <c r="Y216" i="55" s="1"/>
  <c r="Z216" i="55" s="1"/>
  <c r="AA216" i="55" s="1"/>
  <c r="AB216" i="55" s="1"/>
  <c r="AC216" i="55" s="1"/>
  <c r="AD216" i="55" s="1"/>
  <c r="AE216" i="55" s="1"/>
  <c r="AF216" i="55" s="1"/>
  <c r="AG216" i="55" s="1"/>
  <c r="AH216" i="55" s="1"/>
  <c r="AI216" i="55" s="1"/>
  <c r="AJ216" i="55" s="1"/>
  <c r="AK216" i="55" s="1"/>
  <c r="AL216" i="55" s="1"/>
  <c r="AM216" i="55" s="1"/>
  <c r="AN216" i="55" s="1"/>
  <c r="R27" i="55"/>
  <c r="N135" i="47"/>
  <c r="I76" i="56"/>
  <c r="I92" i="56"/>
  <c r="J43" i="56"/>
  <c r="AC171" i="56" s="1"/>
  <c r="K120" i="57"/>
  <c r="K119" i="57"/>
  <c r="K121" i="57"/>
  <c r="AP173" i="55"/>
  <c r="AL65" i="32"/>
  <c r="AM65" i="32" s="1"/>
  <c r="AC65" i="32"/>
  <c r="AD65" i="32" s="1"/>
  <c r="AE65" i="32" s="1"/>
  <c r="AF65" i="32" s="1"/>
  <c r="AG65" i="32" s="1"/>
  <c r="AH65" i="32" s="1"/>
  <c r="AI65" i="32" s="1"/>
  <c r="AJ65" i="32" s="1"/>
  <c r="AK65" i="32" s="1"/>
  <c r="T86" i="57"/>
  <c r="T109" i="57"/>
  <c r="T101" i="57"/>
  <c r="T56" i="57"/>
  <c r="J51" i="56"/>
  <c r="J52" i="56"/>
  <c r="J55" i="56"/>
  <c r="J56" i="56"/>
  <c r="J54" i="56"/>
  <c r="J58" i="56"/>
  <c r="J53" i="56"/>
  <c r="J57" i="56"/>
  <c r="J59" i="56"/>
  <c r="K60" i="56"/>
  <c r="R36" i="55"/>
  <c r="N133" i="47"/>
  <c r="Q107" i="55"/>
  <c r="R107" i="55" s="1"/>
  <c r="S107" i="55" s="1"/>
  <c r="T107" i="55" s="1"/>
  <c r="U107" i="55" s="1"/>
  <c r="V107" i="55" s="1"/>
  <c r="W107" i="55" s="1"/>
  <c r="X107" i="55" s="1"/>
  <c r="Y107" i="55" s="1"/>
  <c r="Z107" i="55" s="1"/>
  <c r="AA107" i="55" s="1"/>
  <c r="AB107" i="55" s="1"/>
  <c r="AC107" i="55" s="1"/>
  <c r="AD107" i="55" s="1"/>
  <c r="AE107" i="55" s="1"/>
  <c r="AF107" i="55" s="1"/>
  <c r="AG107" i="55" s="1"/>
  <c r="AH107" i="55" s="1"/>
  <c r="AI107" i="55" s="1"/>
  <c r="AJ107" i="55" s="1"/>
  <c r="AK107" i="55" s="1"/>
  <c r="AL107" i="55" s="1"/>
  <c r="AM107" i="55" s="1"/>
  <c r="AN107" i="55" s="1"/>
  <c r="AO107" i="55" s="1"/>
  <c r="AP107" i="55" s="1"/>
  <c r="Q101" i="55"/>
  <c r="R101" i="55" s="1"/>
  <c r="S101" i="55" s="1"/>
  <c r="T101" i="55" s="1"/>
  <c r="U101" i="55" s="1"/>
  <c r="V101" i="55" s="1"/>
  <c r="W101" i="55" s="1"/>
  <c r="X101" i="55" s="1"/>
  <c r="Y101" i="55" s="1"/>
  <c r="Z101" i="55" s="1"/>
  <c r="AA101" i="55" s="1"/>
  <c r="AB101" i="55" s="1"/>
  <c r="AC101" i="55" s="1"/>
  <c r="AD101" i="55" s="1"/>
  <c r="AE101" i="55" s="1"/>
  <c r="AF101" i="55" s="1"/>
  <c r="AG101" i="55" s="1"/>
  <c r="AH101" i="55" s="1"/>
  <c r="AI101" i="55" s="1"/>
  <c r="AJ101" i="55" s="1"/>
  <c r="AK101" i="55" s="1"/>
  <c r="AL101" i="55" s="1"/>
  <c r="AM101" i="55" s="1"/>
  <c r="AN101" i="55" s="1"/>
  <c r="AO101" i="55" s="1"/>
  <c r="AP101" i="55" s="1"/>
  <c r="Q102" i="55"/>
  <c r="R102" i="55" s="1"/>
  <c r="S102" i="55" s="1"/>
  <c r="T102" i="55" s="1"/>
  <c r="U102" i="55" s="1"/>
  <c r="V102" i="55" s="1"/>
  <c r="W102" i="55" s="1"/>
  <c r="X102" i="55" s="1"/>
  <c r="Y102" i="55" s="1"/>
  <c r="Z102" i="55" s="1"/>
  <c r="AA102" i="55" s="1"/>
  <c r="AB102" i="55" s="1"/>
  <c r="AC102" i="55" s="1"/>
  <c r="AD102" i="55" s="1"/>
  <c r="AE102" i="55" s="1"/>
  <c r="AF102" i="55" s="1"/>
  <c r="AG102" i="55" s="1"/>
  <c r="AH102" i="55" s="1"/>
  <c r="AI102" i="55" s="1"/>
  <c r="AJ102" i="55" s="1"/>
  <c r="AK102" i="55" s="1"/>
  <c r="AL102" i="55" s="1"/>
  <c r="AM102" i="55" s="1"/>
  <c r="AN102" i="55" s="1"/>
  <c r="AO102" i="55" s="1"/>
  <c r="AP102" i="55" s="1"/>
  <c r="Q108" i="55"/>
  <c r="R108" i="55" s="1"/>
  <c r="S108" i="55" s="1"/>
  <c r="T108" i="55" s="1"/>
  <c r="U108" i="55" s="1"/>
  <c r="V108" i="55" s="1"/>
  <c r="W108" i="55" s="1"/>
  <c r="X108" i="55" s="1"/>
  <c r="Y108" i="55" s="1"/>
  <c r="Z108" i="55" s="1"/>
  <c r="AA108" i="55" s="1"/>
  <c r="AB108" i="55" s="1"/>
  <c r="AC108" i="55" s="1"/>
  <c r="AD108" i="55" s="1"/>
  <c r="AE108" i="55" s="1"/>
  <c r="AF108" i="55" s="1"/>
  <c r="AG108" i="55" s="1"/>
  <c r="AH108" i="55" s="1"/>
  <c r="AI108" i="55" s="1"/>
  <c r="AJ108" i="55" s="1"/>
  <c r="AK108" i="55" s="1"/>
  <c r="AL108" i="55" s="1"/>
  <c r="AM108" i="55" s="1"/>
  <c r="AN108" i="55" s="1"/>
  <c r="AO108" i="55" s="1"/>
  <c r="AP108" i="55" s="1"/>
  <c r="Q106" i="55"/>
  <c r="R106" i="55" s="1"/>
  <c r="S106" i="55" s="1"/>
  <c r="T106" i="55" s="1"/>
  <c r="U106" i="55" s="1"/>
  <c r="V106" i="55" s="1"/>
  <c r="W106" i="55" s="1"/>
  <c r="X106" i="55" s="1"/>
  <c r="Y106" i="55" s="1"/>
  <c r="Z106" i="55" s="1"/>
  <c r="AA106" i="55" s="1"/>
  <c r="AB106" i="55" s="1"/>
  <c r="AC106" i="55" s="1"/>
  <c r="AD106" i="55" s="1"/>
  <c r="AE106" i="55" s="1"/>
  <c r="AF106" i="55" s="1"/>
  <c r="AG106" i="55" s="1"/>
  <c r="AH106" i="55" s="1"/>
  <c r="AI106" i="55" s="1"/>
  <c r="AJ106" i="55" s="1"/>
  <c r="AK106" i="55" s="1"/>
  <c r="AL106" i="55" s="1"/>
  <c r="AM106" i="55" s="1"/>
  <c r="AN106" i="55" s="1"/>
  <c r="AO106" i="55" s="1"/>
  <c r="AP106" i="55" s="1"/>
  <c r="Q104" i="55"/>
  <c r="R104" i="55" s="1"/>
  <c r="S104" i="55" s="1"/>
  <c r="T104" i="55" s="1"/>
  <c r="U104" i="55" s="1"/>
  <c r="V104" i="55" s="1"/>
  <c r="W104" i="55" s="1"/>
  <c r="X104" i="55" s="1"/>
  <c r="Y104" i="55" s="1"/>
  <c r="Z104" i="55" s="1"/>
  <c r="AA104" i="55" s="1"/>
  <c r="AB104" i="55" s="1"/>
  <c r="AC104" i="55" s="1"/>
  <c r="AD104" i="55" s="1"/>
  <c r="AE104" i="55" s="1"/>
  <c r="AF104" i="55" s="1"/>
  <c r="AG104" i="55" s="1"/>
  <c r="AH104" i="55" s="1"/>
  <c r="AI104" i="55" s="1"/>
  <c r="AJ104" i="55" s="1"/>
  <c r="AK104" i="55" s="1"/>
  <c r="AL104" i="55" s="1"/>
  <c r="AM104" i="55" s="1"/>
  <c r="AN104" i="55" s="1"/>
  <c r="AO104" i="55" s="1"/>
  <c r="AP104" i="55" s="1"/>
  <c r="Q105" i="55"/>
  <c r="R105" i="55" s="1"/>
  <c r="S105" i="55" s="1"/>
  <c r="T105" i="55" s="1"/>
  <c r="U105" i="55" s="1"/>
  <c r="V105" i="55" s="1"/>
  <c r="W105" i="55" s="1"/>
  <c r="X105" i="55" s="1"/>
  <c r="Y105" i="55" s="1"/>
  <c r="Z105" i="55" s="1"/>
  <c r="AA105" i="55" s="1"/>
  <c r="AB105" i="55" s="1"/>
  <c r="AC105" i="55" s="1"/>
  <c r="AD105" i="55" s="1"/>
  <c r="AE105" i="55" s="1"/>
  <c r="AF105" i="55" s="1"/>
  <c r="AG105" i="55" s="1"/>
  <c r="AH105" i="55" s="1"/>
  <c r="AI105" i="55" s="1"/>
  <c r="AJ105" i="55" s="1"/>
  <c r="AK105" i="55" s="1"/>
  <c r="AL105" i="55" s="1"/>
  <c r="AM105" i="55" s="1"/>
  <c r="AN105" i="55" s="1"/>
  <c r="AO105" i="55" s="1"/>
  <c r="AP105" i="55" s="1"/>
  <c r="Q110" i="55"/>
  <c r="R110" i="55" s="1"/>
  <c r="S110" i="55" s="1"/>
  <c r="T110" i="55" s="1"/>
  <c r="U110" i="55" s="1"/>
  <c r="V110" i="55" s="1"/>
  <c r="W110" i="55" s="1"/>
  <c r="X110" i="55" s="1"/>
  <c r="Y110" i="55" s="1"/>
  <c r="Z110" i="55" s="1"/>
  <c r="AA110" i="55" s="1"/>
  <c r="AB110" i="55" s="1"/>
  <c r="AC110" i="55" s="1"/>
  <c r="AD110" i="55" s="1"/>
  <c r="AE110" i="55" s="1"/>
  <c r="AF110" i="55" s="1"/>
  <c r="AG110" i="55" s="1"/>
  <c r="AH110" i="55" s="1"/>
  <c r="AI110" i="55" s="1"/>
  <c r="AJ110" i="55" s="1"/>
  <c r="AK110" i="55" s="1"/>
  <c r="AL110" i="55" s="1"/>
  <c r="AM110" i="55" s="1"/>
  <c r="AN110" i="55" s="1"/>
  <c r="AO110" i="55" s="1"/>
  <c r="AP110" i="55" s="1"/>
  <c r="Q103" i="55"/>
  <c r="R103" i="55" s="1"/>
  <c r="S103" i="55" s="1"/>
  <c r="T103" i="55" s="1"/>
  <c r="U103" i="55" s="1"/>
  <c r="V103" i="55" s="1"/>
  <c r="W103" i="55" s="1"/>
  <c r="X103" i="55" s="1"/>
  <c r="Y103" i="55" s="1"/>
  <c r="Z103" i="55" s="1"/>
  <c r="AA103" i="55" s="1"/>
  <c r="AB103" i="55" s="1"/>
  <c r="AC103" i="55" s="1"/>
  <c r="AD103" i="55" s="1"/>
  <c r="AE103" i="55" s="1"/>
  <c r="AF103" i="55" s="1"/>
  <c r="AG103" i="55" s="1"/>
  <c r="AH103" i="55" s="1"/>
  <c r="AI103" i="55" s="1"/>
  <c r="AJ103" i="55" s="1"/>
  <c r="AK103" i="55" s="1"/>
  <c r="AL103" i="55" s="1"/>
  <c r="AM103" i="55" s="1"/>
  <c r="AN103" i="55" s="1"/>
  <c r="AO103" i="55" s="1"/>
  <c r="AP103" i="55" s="1"/>
  <c r="Q92" i="55"/>
  <c r="R92" i="55" s="1"/>
  <c r="S92" i="55" s="1"/>
  <c r="T92" i="55" s="1"/>
  <c r="U92" i="55" s="1"/>
  <c r="V92" i="55" s="1"/>
  <c r="W92" i="55" s="1"/>
  <c r="X92" i="55" s="1"/>
  <c r="Y92" i="55" s="1"/>
  <c r="Z92" i="55" s="1"/>
  <c r="AA92" i="55" s="1"/>
  <c r="AB92" i="55" s="1"/>
  <c r="AC92" i="55" s="1"/>
  <c r="AD92" i="55" s="1"/>
  <c r="AE92" i="55" s="1"/>
  <c r="AF92" i="55" s="1"/>
  <c r="AG92" i="55" s="1"/>
  <c r="AH92" i="55" s="1"/>
  <c r="AI92" i="55" s="1"/>
  <c r="AJ92" i="55" s="1"/>
  <c r="AK92" i="55" s="1"/>
  <c r="AL92" i="55" s="1"/>
  <c r="AM92" i="55" s="1"/>
  <c r="AN92" i="55" s="1"/>
  <c r="AO92" i="55" s="1"/>
  <c r="AP92" i="55" s="1"/>
  <c r="Q109" i="55"/>
  <c r="R109" i="55" s="1"/>
  <c r="S109" i="55" s="1"/>
  <c r="T109" i="55" s="1"/>
  <c r="U109" i="55" s="1"/>
  <c r="V109" i="55" s="1"/>
  <c r="W109" i="55" s="1"/>
  <c r="X109" i="55" s="1"/>
  <c r="Y109" i="55" s="1"/>
  <c r="Z109" i="55" s="1"/>
  <c r="AA109" i="55" s="1"/>
  <c r="AB109" i="55" s="1"/>
  <c r="AC109" i="55" s="1"/>
  <c r="AD109" i="55" s="1"/>
  <c r="AE109" i="55" s="1"/>
  <c r="AF109" i="55" s="1"/>
  <c r="AG109" i="55" s="1"/>
  <c r="AH109" i="55" s="1"/>
  <c r="AI109" i="55" s="1"/>
  <c r="AJ109" i="55" s="1"/>
  <c r="AK109" i="55" s="1"/>
  <c r="AL109" i="55" s="1"/>
  <c r="AM109" i="55" s="1"/>
  <c r="AN109" i="55" s="1"/>
  <c r="AO109" i="55" s="1"/>
  <c r="AP109" i="55" s="1"/>
  <c r="Q97" i="55"/>
  <c r="R97" i="55" s="1"/>
  <c r="S97" i="55" s="1"/>
  <c r="T97" i="55" s="1"/>
  <c r="U97" i="55" s="1"/>
  <c r="V97" i="55" s="1"/>
  <c r="W97" i="55" s="1"/>
  <c r="X97" i="55" s="1"/>
  <c r="Y97" i="55" s="1"/>
  <c r="Z97" i="55" s="1"/>
  <c r="AA97" i="55" s="1"/>
  <c r="AB97" i="55" s="1"/>
  <c r="AC97" i="55" s="1"/>
  <c r="AD97" i="55" s="1"/>
  <c r="AE97" i="55" s="1"/>
  <c r="AF97" i="55" s="1"/>
  <c r="AG97" i="55" s="1"/>
  <c r="AH97" i="55" s="1"/>
  <c r="AI97" i="55" s="1"/>
  <c r="AJ97" i="55" s="1"/>
  <c r="AK97" i="55" s="1"/>
  <c r="AL97" i="55" s="1"/>
  <c r="AM97" i="55" s="1"/>
  <c r="AN97" i="55" s="1"/>
  <c r="AO97" i="55" s="1"/>
  <c r="AP97" i="55" s="1"/>
  <c r="Q93" i="55"/>
  <c r="R93" i="55" s="1"/>
  <c r="S93" i="55" s="1"/>
  <c r="T93" i="55" s="1"/>
  <c r="U93" i="55" s="1"/>
  <c r="V93" i="55" s="1"/>
  <c r="W93" i="55" s="1"/>
  <c r="X93" i="55" s="1"/>
  <c r="Y93" i="55" s="1"/>
  <c r="Z93" i="55" s="1"/>
  <c r="AA93" i="55" s="1"/>
  <c r="AB93" i="55" s="1"/>
  <c r="AC93" i="55" s="1"/>
  <c r="AD93" i="55" s="1"/>
  <c r="AE93" i="55" s="1"/>
  <c r="AF93" i="55" s="1"/>
  <c r="AG93" i="55" s="1"/>
  <c r="AH93" i="55" s="1"/>
  <c r="AI93" i="55" s="1"/>
  <c r="AJ93" i="55" s="1"/>
  <c r="AK93" i="55" s="1"/>
  <c r="AL93" i="55" s="1"/>
  <c r="AM93" i="55" s="1"/>
  <c r="AN93" i="55" s="1"/>
  <c r="AO93" i="55" s="1"/>
  <c r="AP93" i="55" s="1"/>
  <c r="Q94" i="55"/>
  <c r="R94" i="55" s="1"/>
  <c r="S94" i="55" s="1"/>
  <c r="T94" i="55" s="1"/>
  <c r="U94" i="55" s="1"/>
  <c r="V94" i="55" s="1"/>
  <c r="W94" i="55" s="1"/>
  <c r="X94" i="55" s="1"/>
  <c r="Y94" i="55" s="1"/>
  <c r="Z94" i="55" s="1"/>
  <c r="AA94" i="55" s="1"/>
  <c r="AB94" i="55" s="1"/>
  <c r="AC94" i="55" s="1"/>
  <c r="AD94" i="55" s="1"/>
  <c r="AE94" i="55" s="1"/>
  <c r="AF94" i="55" s="1"/>
  <c r="AG94" i="55" s="1"/>
  <c r="AH94" i="55" s="1"/>
  <c r="AI94" i="55" s="1"/>
  <c r="AJ94" i="55" s="1"/>
  <c r="AK94" i="55" s="1"/>
  <c r="AL94" i="55" s="1"/>
  <c r="AM94" i="55" s="1"/>
  <c r="AN94" i="55" s="1"/>
  <c r="AO94" i="55" s="1"/>
  <c r="AP94" i="55" s="1"/>
  <c r="Q100" i="55"/>
  <c r="R100" i="55" s="1"/>
  <c r="S100" i="55" s="1"/>
  <c r="T100" i="55" s="1"/>
  <c r="U100" i="55" s="1"/>
  <c r="V100" i="55" s="1"/>
  <c r="W100" i="55" s="1"/>
  <c r="X100" i="55" s="1"/>
  <c r="Y100" i="55" s="1"/>
  <c r="Z100" i="55" s="1"/>
  <c r="AA100" i="55" s="1"/>
  <c r="AB100" i="55" s="1"/>
  <c r="AC100" i="55" s="1"/>
  <c r="AD100" i="55" s="1"/>
  <c r="AE100" i="55" s="1"/>
  <c r="AF100" i="55" s="1"/>
  <c r="AG100" i="55" s="1"/>
  <c r="AH100" i="55" s="1"/>
  <c r="AI100" i="55" s="1"/>
  <c r="AJ100" i="55" s="1"/>
  <c r="AK100" i="55" s="1"/>
  <c r="AL100" i="55" s="1"/>
  <c r="AM100" i="55" s="1"/>
  <c r="AN100" i="55" s="1"/>
  <c r="AO100" i="55" s="1"/>
  <c r="AP100" i="55" s="1"/>
  <c r="Q96" i="55"/>
  <c r="R96" i="55" s="1"/>
  <c r="S96" i="55" s="1"/>
  <c r="T96" i="55" s="1"/>
  <c r="U96" i="55" s="1"/>
  <c r="V96" i="55" s="1"/>
  <c r="W96" i="55" s="1"/>
  <c r="X96" i="55" s="1"/>
  <c r="Y96" i="55" s="1"/>
  <c r="Z96" i="55" s="1"/>
  <c r="AA96" i="55" s="1"/>
  <c r="AB96" i="55" s="1"/>
  <c r="AC96" i="55" s="1"/>
  <c r="AD96" i="55" s="1"/>
  <c r="AE96" i="55" s="1"/>
  <c r="AF96" i="55" s="1"/>
  <c r="AG96" i="55" s="1"/>
  <c r="AH96" i="55" s="1"/>
  <c r="AI96" i="55" s="1"/>
  <c r="AJ96" i="55" s="1"/>
  <c r="AK96" i="55" s="1"/>
  <c r="AL96" i="55" s="1"/>
  <c r="AM96" i="55" s="1"/>
  <c r="AN96" i="55" s="1"/>
  <c r="AO96" i="55" s="1"/>
  <c r="AP96" i="55" s="1"/>
  <c r="Q95" i="55"/>
  <c r="R95" i="55" s="1"/>
  <c r="S95" i="55" s="1"/>
  <c r="T95" i="55" s="1"/>
  <c r="U95" i="55" s="1"/>
  <c r="V95" i="55" s="1"/>
  <c r="W95" i="55" s="1"/>
  <c r="X95" i="55" s="1"/>
  <c r="Y95" i="55" s="1"/>
  <c r="Z95" i="55" s="1"/>
  <c r="AA95" i="55" s="1"/>
  <c r="AB95" i="55" s="1"/>
  <c r="AC95" i="55" s="1"/>
  <c r="AD95" i="55" s="1"/>
  <c r="AE95" i="55" s="1"/>
  <c r="AF95" i="55" s="1"/>
  <c r="AG95" i="55" s="1"/>
  <c r="AH95" i="55" s="1"/>
  <c r="AI95" i="55" s="1"/>
  <c r="AJ95" i="55" s="1"/>
  <c r="AK95" i="55" s="1"/>
  <c r="AL95" i="55" s="1"/>
  <c r="AM95" i="55" s="1"/>
  <c r="AN95" i="55" s="1"/>
  <c r="AO95" i="55" s="1"/>
  <c r="AP95" i="55" s="1"/>
  <c r="Q98" i="55"/>
  <c r="R98" i="55" s="1"/>
  <c r="S98" i="55" s="1"/>
  <c r="T98" i="55" s="1"/>
  <c r="U98" i="55" s="1"/>
  <c r="V98" i="55" s="1"/>
  <c r="W98" i="55" s="1"/>
  <c r="X98" i="55" s="1"/>
  <c r="Y98" i="55" s="1"/>
  <c r="Z98" i="55" s="1"/>
  <c r="AA98" i="55" s="1"/>
  <c r="AB98" i="55" s="1"/>
  <c r="AC98" i="55" s="1"/>
  <c r="AD98" i="55" s="1"/>
  <c r="AE98" i="55" s="1"/>
  <c r="AF98" i="55" s="1"/>
  <c r="AG98" i="55" s="1"/>
  <c r="AH98" i="55" s="1"/>
  <c r="AI98" i="55" s="1"/>
  <c r="AJ98" i="55" s="1"/>
  <c r="AK98" i="55" s="1"/>
  <c r="AL98" i="55" s="1"/>
  <c r="AM98" i="55" s="1"/>
  <c r="AN98" i="55" s="1"/>
  <c r="AO98" i="55" s="1"/>
  <c r="AP98" i="55" s="1"/>
  <c r="Q99" i="55"/>
  <c r="R99" i="55" s="1"/>
  <c r="S99" i="55" s="1"/>
  <c r="T99" i="55" s="1"/>
  <c r="U99" i="55" s="1"/>
  <c r="V99" i="55" s="1"/>
  <c r="W99" i="55" s="1"/>
  <c r="X99" i="55" s="1"/>
  <c r="Y99" i="55" s="1"/>
  <c r="Z99" i="55" s="1"/>
  <c r="AA99" i="55" s="1"/>
  <c r="AB99" i="55" s="1"/>
  <c r="AC99" i="55" s="1"/>
  <c r="AD99" i="55" s="1"/>
  <c r="AE99" i="55" s="1"/>
  <c r="AF99" i="55" s="1"/>
  <c r="AG99" i="55" s="1"/>
  <c r="AH99" i="55" s="1"/>
  <c r="AI99" i="55" s="1"/>
  <c r="AJ99" i="55" s="1"/>
  <c r="AK99" i="55" s="1"/>
  <c r="AL99" i="55" s="1"/>
  <c r="AM99" i="55" s="1"/>
  <c r="AN99" i="55" s="1"/>
  <c r="AO99" i="55" s="1"/>
  <c r="AP99" i="55" s="1"/>
  <c r="Q111" i="55"/>
  <c r="R111" i="55" s="1"/>
  <c r="S111" i="55" s="1"/>
  <c r="T111" i="55" s="1"/>
  <c r="U111" i="55" s="1"/>
  <c r="V111" i="55" s="1"/>
  <c r="W111" i="55" s="1"/>
  <c r="X111" i="55" s="1"/>
  <c r="Y111" i="55" s="1"/>
  <c r="Z111" i="55" s="1"/>
  <c r="AA111" i="55" s="1"/>
  <c r="AB111" i="55" s="1"/>
  <c r="AC111" i="55" s="1"/>
  <c r="AD111" i="55" s="1"/>
  <c r="AE111" i="55" s="1"/>
  <c r="AF111" i="55" s="1"/>
  <c r="AG111" i="55" s="1"/>
  <c r="AH111" i="55" s="1"/>
  <c r="AI111" i="55" s="1"/>
  <c r="AJ111" i="55" s="1"/>
  <c r="AK111" i="55" s="1"/>
  <c r="AL111" i="55" s="1"/>
  <c r="AM111" i="55" s="1"/>
  <c r="AN111" i="55" s="1"/>
  <c r="AO111" i="55" s="1"/>
  <c r="AP111" i="55" s="1"/>
  <c r="I54" i="56"/>
  <c r="I52" i="56"/>
  <c r="I55" i="56"/>
  <c r="I59" i="56"/>
  <c r="I51" i="56"/>
  <c r="I53" i="56"/>
  <c r="I57" i="56"/>
  <c r="I56" i="56"/>
  <c r="I58" i="56"/>
  <c r="AL77" i="53"/>
  <c r="AL88" i="53"/>
  <c r="AL87" i="53"/>
  <c r="W84" i="47"/>
  <c r="AA48" i="29"/>
  <c r="AM8" i="53"/>
  <c r="AN22" i="53"/>
  <c r="AN25" i="53" s="1"/>
  <c r="AN67" i="53"/>
  <c r="AN104" i="53" s="1"/>
  <c r="AN3" i="53"/>
  <c r="AN5" i="53"/>
  <c r="AN7" i="53"/>
  <c r="AN12" i="53" a="1"/>
  <c r="AN12" i="53" s="1"/>
  <c r="AN11" i="53" s="1"/>
  <c r="AN6" i="53"/>
  <c r="AO4" i="53"/>
  <c r="AH26" i="35"/>
  <c r="AD7" i="47"/>
  <c r="AH23" i="35"/>
  <c r="AD8" i="47"/>
  <c r="AI25" i="35"/>
  <c r="AE6" i="47"/>
  <c r="AD5" i="47"/>
  <c r="AH22" i="35"/>
  <c r="AH24" i="35"/>
  <c r="AD9" i="47"/>
  <c r="H35" i="32" l="1"/>
  <c r="H38" i="32" s="1"/>
  <c r="AM87" i="53"/>
  <c r="T123" i="56"/>
  <c r="S144" i="56" s="1"/>
  <c r="R123" i="56"/>
  <c r="Q144" i="56" s="1"/>
  <c r="S174" i="56"/>
  <c r="T174" i="56" s="1"/>
  <c r="U174" i="56" s="1"/>
  <c r="V174" i="56" s="1"/>
  <c r="W174" i="56" s="1"/>
  <c r="X174" i="56" s="1"/>
  <c r="Y174" i="56" s="1"/>
  <c r="Z174" i="56" s="1"/>
  <c r="AA174" i="56" s="1"/>
  <c r="AB174" i="56" s="1"/>
  <c r="Q174" i="56"/>
  <c r="R174" i="56" s="1"/>
  <c r="S177" i="56"/>
  <c r="Q177" i="56"/>
  <c r="R177" i="56" s="1"/>
  <c r="S176" i="56"/>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Q180" i="56"/>
  <c r="R180" i="56" s="1"/>
  <c r="S173" i="56"/>
  <c r="T173" i="56" s="1"/>
  <c r="U173" i="56" s="1"/>
  <c r="V173" i="56" s="1"/>
  <c r="W173" i="56" s="1"/>
  <c r="X173" i="56" s="1"/>
  <c r="Y173" i="56" s="1"/>
  <c r="Z173" i="56" s="1"/>
  <c r="AA173" i="56" s="1"/>
  <c r="AB173" i="56" s="1"/>
  <c r="Q173" i="56"/>
  <c r="R173" i="56" s="1"/>
  <c r="S178" i="56"/>
  <c r="Q178" i="56"/>
  <c r="R178" i="56" s="1"/>
  <c r="S172" i="56"/>
  <c r="Q172" i="56"/>
  <c r="R172"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P47" i="57"/>
  <c r="AC123" i="56"/>
  <c r="AB144" i="56" s="1"/>
  <c r="I110" i="57"/>
  <c r="I111" i="57" s="1"/>
  <c r="I150" i="57" s="1"/>
  <c r="I187" i="57" s="1"/>
  <c r="Q111" i="56"/>
  <c r="P132" i="56" s="1"/>
  <c r="S111" i="56"/>
  <c r="R132" i="56" s="1"/>
  <c r="R183" i="56"/>
  <c r="N99" i="47"/>
  <c r="Q183" i="56"/>
  <c r="M99" i="47"/>
  <c r="G151" i="57"/>
  <c r="G188" i="57" s="1"/>
  <c r="G150" i="57"/>
  <c r="G187" i="57" s="1"/>
  <c r="G149" i="57"/>
  <c r="I128" i="57"/>
  <c r="I156" i="57" s="1"/>
  <c r="I168" i="57" s="1"/>
  <c r="AO227" i="55"/>
  <c r="AP227" i="55" s="1"/>
  <c r="AO219" i="55"/>
  <c r="AP219" i="55" s="1"/>
  <c r="AO214" i="55"/>
  <c r="AP214" i="55" s="1"/>
  <c r="AO216" i="55"/>
  <c r="AP216" i="55" s="1"/>
  <c r="AO217" i="55"/>
  <c r="AP217" i="55" s="1"/>
  <c r="AO223" i="55"/>
  <c r="AP223" i="55" s="1"/>
  <c r="AO215" i="55"/>
  <c r="AP215" i="55" s="1"/>
  <c r="AO228" i="55"/>
  <c r="AP228" i="55" s="1"/>
  <c r="AO224" i="55"/>
  <c r="AP224" i="55" s="1"/>
  <c r="AO212" i="55"/>
  <c r="AP212" i="55" s="1"/>
  <c r="AO213" i="55"/>
  <c r="AP213" i="55" s="1"/>
  <c r="AO229" i="55"/>
  <c r="AP229" i="55" s="1"/>
  <c r="AO221" i="55"/>
  <c r="AP221" i="55" s="1"/>
  <c r="AO218" i="55"/>
  <c r="AP218" i="55" s="1"/>
  <c r="AO220" i="55"/>
  <c r="AP220" i="55" s="1"/>
  <c r="R71" i="55"/>
  <c r="O36" i="47" s="1"/>
  <c r="AO222" i="55"/>
  <c r="AP222" i="55" s="1"/>
  <c r="AO226" i="55"/>
  <c r="AP226" i="55" s="1"/>
  <c r="R76" i="55"/>
  <c r="O39" i="47" s="1"/>
  <c r="R73" i="55"/>
  <c r="O37" i="47" s="1"/>
  <c r="R74" i="55"/>
  <c r="S74" i="55" s="1"/>
  <c r="R239" i="55"/>
  <c r="O55" i="47" s="1"/>
  <c r="R241" i="55"/>
  <c r="S241" i="55" s="1"/>
  <c r="R162" i="55"/>
  <c r="O49" i="47" s="1"/>
  <c r="R161" i="55"/>
  <c r="S161" i="55" s="1"/>
  <c r="AO182" i="55"/>
  <c r="AP182" i="55" s="1"/>
  <c r="AO174" i="55"/>
  <c r="AP174" i="55" s="1"/>
  <c r="AO181" i="55"/>
  <c r="AP181" i="55" s="1"/>
  <c r="AO189" i="55"/>
  <c r="AP189" i="55" s="1"/>
  <c r="I129" i="57"/>
  <c r="I152" i="57" s="1"/>
  <c r="AO180" i="55"/>
  <c r="AP180" i="55" s="1"/>
  <c r="R233" i="55"/>
  <c r="O57" i="47" s="1"/>
  <c r="AO186" i="55"/>
  <c r="AP186" i="55" s="1"/>
  <c r="AO187" i="55"/>
  <c r="AP187" i="55" s="1"/>
  <c r="R79" i="55"/>
  <c r="O33" i="47" s="1"/>
  <c r="AO177" i="55"/>
  <c r="AP177" i="55" s="1"/>
  <c r="AO175" i="55"/>
  <c r="AP175" i="55" s="1"/>
  <c r="R75" i="55"/>
  <c r="O35" i="47" s="1"/>
  <c r="AO179" i="55"/>
  <c r="AP179" i="55" s="1"/>
  <c r="AO188" i="55"/>
  <c r="AP188" i="55" s="1"/>
  <c r="R194" i="55"/>
  <c r="O21" i="47" s="1"/>
  <c r="R88" i="55"/>
  <c r="S88" i="55" s="1"/>
  <c r="AO184" i="55"/>
  <c r="AP184" i="55" s="1"/>
  <c r="AO185" i="55"/>
  <c r="AP185" i="55" s="1"/>
  <c r="R201" i="55"/>
  <c r="S201" i="55" s="1"/>
  <c r="AO178" i="55"/>
  <c r="AP178" i="55" s="1"/>
  <c r="R193" i="55"/>
  <c r="S193" i="55" s="1"/>
  <c r="AO176" i="55"/>
  <c r="AP176" i="55" s="1"/>
  <c r="R196" i="55"/>
  <c r="O22" i="47" s="1"/>
  <c r="H129" i="57"/>
  <c r="H153" i="57" s="1"/>
  <c r="AO183" i="55"/>
  <c r="AP183" i="55" s="1"/>
  <c r="K49" i="57"/>
  <c r="K50" i="57" s="1"/>
  <c r="K110" i="57" s="1"/>
  <c r="N255" i="57"/>
  <c r="O255" i="57" s="1"/>
  <c r="P255" i="57" s="1"/>
  <c r="Q255" i="57" s="1"/>
  <c r="R255" i="57"/>
  <c r="I100" i="56"/>
  <c r="I84" i="56"/>
  <c r="AC179" i="56"/>
  <c r="J82" i="56"/>
  <c r="J98" i="56"/>
  <c r="J47" i="56"/>
  <c r="J46" i="56"/>
  <c r="AC172" i="56" s="1"/>
  <c r="K48" i="56"/>
  <c r="R156" i="55"/>
  <c r="N42" i="47"/>
  <c r="W117" i="57"/>
  <c r="W115" i="57"/>
  <c r="W116" i="57"/>
  <c r="Q116" i="57"/>
  <c r="Q117" i="57"/>
  <c r="Q115" i="57"/>
  <c r="AL17" i="32"/>
  <c r="U124" i="57"/>
  <c r="U123" i="57"/>
  <c r="U125" i="57"/>
  <c r="O123" i="57"/>
  <c r="O124" i="57"/>
  <c r="O125" i="57"/>
  <c r="R237" i="55"/>
  <c r="N56" i="47"/>
  <c r="AO225" i="55"/>
  <c r="AP225" i="55" s="1"/>
  <c r="R141" i="55"/>
  <c r="N17" i="47"/>
  <c r="V119" i="57"/>
  <c r="V121" i="57"/>
  <c r="V120" i="57"/>
  <c r="I54" i="57"/>
  <c r="N124" i="57"/>
  <c r="N123" i="57"/>
  <c r="N125" i="57"/>
  <c r="G250" i="57"/>
  <c r="I78" i="56"/>
  <c r="I94" i="56"/>
  <c r="AC173" i="56"/>
  <c r="J78" i="56"/>
  <c r="J94" i="56"/>
  <c r="I103" i="56"/>
  <c r="I87" i="56"/>
  <c r="K54" i="57"/>
  <c r="K128" i="57"/>
  <c r="K156" i="57" s="1"/>
  <c r="H37" i="32"/>
  <c r="H25" i="32"/>
  <c r="H31" i="32" s="1"/>
  <c r="S31" i="55"/>
  <c r="O129" i="47"/>
  <c r="H128" i="57"/>
  <c r="H156" i="57" s="1"/>
  <c r="Q121" i="57"/>
  <c r="Q119" i="57"/>
  <c r="Q120" i="57"/>
  <c r="O59" i="56"/>
  <c r="O86" i="56" s="1"/>
  <c r="AB77" i="56" s="1"/>
  <c r="O57" i="56"/>
  <c r="O56" i="56"/>
  <c r="O51" i="56"/>
  <c r="O53" i="56"/>
  <c r="O55" i="56"/>
  <c r="O52" i="56"/>
  <c r="O54" i="56"/>
  <c r="O58" i="56"/>
  <c r="R238" i="55"/>
  <c r="N60" i="47"/>
  <c r="J87" i="57"/>
  <c r="J90" i="57" s="1"/>
  <c r="J125" i="57" s="1"/>
  <c r="J129" i="57" s="1"/>
  <c r="J109" i="57"/>
  <c r="U121" i="57"/>
  <c r="U119" i="57"/>
  <c r="U120" i="57"/>
  <c r="O116" i="57"/>
  <c r="O115" i="57"/>
  <c r="O117" i="57"/>
  <c r="R158" i="55"/>
  <c r="AC175" i="56"/>
  <c r="I80" i="56"/>
  <c r="I96" i="56"/>
  <c r="J95" i="56"/>
  <c r="J79" i="56"/>
  <c r="O47" i="56"/>
  <c r="O87" i="56" s="1"/>
  <c r="O46" i="56"/>
  <c r="P48" i="56"/>
  <c r="R200" i="55"/>
  <c r="N28" i="47"/>
  <c r="R236" i="55"/>
  <c r="N53" i="47"/>
  <c r="I82" i="56"/>
  <c r="I98" i="56"/>
  <c r="AC177" i="56"/>
  <c r="T177" i="56"/>
  <c r="U177" i="56" s="1"/>
  <c r="V177" i="56" s="1"/>
  <c r="W177" i="56" s="1"/>
  <c r="X177" i="56" s="1"/>
  <c r="Y177" i="56" s="1"/>
  <c r="Z177" i="56" s="1"/>
  <c r="AA177" i="56" s="1"/>
  <c r="AB177" i="56" s="1"/>
  <c r="S36" i="55"/>
  <c r="O133" i="47"/>
  <c r="R165" i="55"/>
  <c r="N51" i="47"/>
  <c r="R155" i="55"/>
  <c r="N47" i="47"/>
  <c r="G54" i="57"/>
  <c r="H54" i="57"/>
  <c r="H127" i="57"/>
  <c r="H154" i="57" s="1"/>
  <c r="O76" i="56"/>
  <c r="O92" i="56"/>
  <c r="P43" i="56"/>
  <c r="R199" i="55"/>
  <c r="P120" i="57"/>
  <c r="P121" i="57"/>
  <c r="P119" i="57"/>
  <c r="R243" i="55"/>
  <c r="N61" i="47"/>
  <c r="R81" i="55"/>
  <c r="N18" i="47"/>
  <c r="R139" i="55"/>
  <c r="N14" i="47"/>
  <c r="R138" i="55"/>
  <c r="I95" i="56"/>
  <c r="I79" i="56"/>
  <c r="AC174" i="56"/>
  <c r="K51" i="56"/>
  <c r="AM173" i="56" s="1"/>
  <c r="K57" i="56"/>
  <c r="AM179" i="56" s="1"/>
  <c r="K52" i="56"/>
  <c r="AM174" i="56" s="1"/>
  <c r="K55" i="56"/>
  <c r="AM177" i="56" s="1"/>
  <c r="K58" i="56"/>
  <c r="K53" i="56"/>
  <c r="AM175" i="56" s="1"/>
  <c r="K56" i="56"/>
  <c r="K54" i="56"/>
  <c r="K59" i="56"/>
  <c r="L60" i="56"/>
  <c r="U28" i="55"/>
  <c r="Q127" i="47"/>
  <c r="U123" i="56"/>
  <c r="R157" i="55"/>
  <c r="N48" i="47"/>
  <c r="P130" i="47"/>
  <c r="T33" i="55"/>
  <c r="H149" i="57"/>
  <c r="H151" i="57"/>
  <c r="H188" i="57" s="1"/>
  <c r="H150" i="57"/>
  <c r="H187" i="57" s="1"/>
  <c r="T47" i="57"/>
  <c r="T49" i="57" s="1"/>
  <c r="U49" i="57" s="1"/>
  <c r="U43" i="56"/>
  <c r="U60" i="56"/>
  <c r="U48" i="56"/>
  <c r="O121" i="57"/>
  <c r="O120" i="57"/>
  <c r="O119" i="57"/>
  <c r="R195" i="55"/>
  <c r="N27" i="47"/>
  <c r="R203" i="55"/>
  <c r="N30" i="47"/>
  <c r="V115" i="57"/>
  <c r="V117" i="57"/>
  <c r="V116" i="57"/>
  <c r="N15" i="47"/>
  <c r="R134" i="55"/>
  <c r="I93" i="56"/>
  <c r="I77" i="56"/>
  <c r="R163" i="55"/>
  <c r="N44" i="47"/>
  <c r="AC176" i="56"/>
  <c r="I97" i="56"/>
  <c r="I81" i="56"/>
  <c r="T176" i="56"/>
  <c r="U176" i="56" s="1"/>
  <c r="V176" i="56" s="1"/>
  <c r="W176" i="56" s="1"/>
  <c r="X176" i="56" s="1"/>
  <c r="Y176" i="56" s="1"/>
  <c r="Z176" i="56" s="1"/>
  <c r="AA176" i="56" s="1"/>
  <c r="AB176" i="56" s="1"/>
  <c r="J102" i="56"/>
  <c r="J86" i="56"/>
  <c r="T125" i="57"/>
  <c r="T123" i="57"/>
  <c r="T124" i="57"/>
  <c r="AC183" i="56"/>
  <c r="N117" i="57"/>
  <c r="N116" i="57"/>
  <c r="N115" i="57"/>
  <c r="T32" i="55"/>
  <c r="P131" i="47"/>
  <c r="N47" i="57"/>
  <c r="N49" i="57" s="1"/>
  <c r="O49" i="57" s="1"/>
  <c r="P49" i="57" s="1"/>
  <c r="R197" i="55"/>
  <c r="N25" i="47"/>
  <c r="R235" i="55"/>
  <c r="U115" i="57"/>
  <c r="U117" i="57"/>
  <c r="U116" i="57"/>
  <c r="R144" i="55"/>
  <c r="N19" i="47"/>
  <c r="I102" i="56"/>
  <c r="I86" i="56"/>
  <c r="K127" i="57"/>
  <c r="K154" i="57" s="1"/>
  <c r="T183" i="56"/>
  <c r="O99" i="47"/>
  <c r="R160" i="55"/>
  <c r="N50" i="47"/>
  <c r="R240" i="55"/>
  <c r="R151" i="55"/>
  <c r="N20" i="47"/>
  <c r="R159" i="55"/>
  <c r="N46" i="47"/>
  <c r="J88" i="56"/>
  <c r="P88" i="56"/>
  <c r="V88" i="56" s="1"/>
  <c r="K104" i="56"/>
  <c r="AD123" i="56" s="1"/>
  <c r="AC144" i="56" s="1"/>
  <c r="J96" i="56"/>
  <c r="J80" i="56"/>
  <c r="T115" i="57"/>
  <c r="T116" i="57"/>
  <c r="T117" i="57"/>
  <c r="I127" i="57"/>
  <c r="I154" i="57" s="1"/>
  <c r="J110" i="57"/>
  <c r="J51" i="57"/>
  <c r="W121" i="57"/>
  <c r="W119" i="57"/>
  <c r="W120" i="57"/>
  <c r="G249" i="57"/>
  <c r="R198" i="55"/>
  <c r="N29" i="47"/>
  <c r="T34" i="55"/>
  <c r="P128" i="47"/>
  <c r="AP17" i="32"/>
  <c r="R78" i="55"/>
  <c r="R72" i="55"/>
  <c r="N31" i="47"/>
  <c r="R142" i="55"/>
  <c r="N12" i="47"/>
  <c r="J92" i="56"/>
  <c r="J76" i="56"/>
  <c r="K43" i="56"/>
  <c r="AM171" i="56" s="1"/>
  <c r="Q124" i="57"/>
  <c r="Q123" i="57"/>
  <c r="K32" i="57"/>
  <c r="Q87" i="57"/>
  <c r="Q90" i="57" s="1"/>
  <c r="Q125" i="57" s="1"/>
  <c r="Q56" i="57"/>
  <c r="K56" i="57" s="1"/>
  <c r="N121" i="57"/>
  <c r="N119" i="57"/>
  <c r="N120" i="57"/>
  <c r="P125" i="57"/>
  <c r="P123" i="57"/>
  <c r="P124" i="57"/>
  <c r="R253" i="55"/>
  <c r="P115" i="57"/>
  <c r="P116" i="57"/>
  <c r="P117" i="57"/>
  <c r="P60" i="56"/>
  <c r="R135" i="55"/>
  <c r="N10" i="47"/>
  <c r="J100" i="56"/>
  <c r="J84" i="56"/>
  <c r="AM180" i="56"/>
  <c r="J101" i="56"/>
  <c r="J85" i="56"/>
  <c r="O135" i="47"/>
  <c r="S27" i="55"/>
  <c r="I85" i="56"/>
  <c r="AC180" i="56"/>
  <c r="I101" i="56"/>
  <c r="T180" i="56"/>
  <c r="U180" i="56" s="1"/>
  <c r="V180" i="56" s="1"/>
  <c r="W180" i="56" s="1"/>
  <c r="X180" i="56" s="1"/>
  <c r="Y180" i="56" s="1"/>
  <c r="Z180" i="56" s="1"/>
  <c r="AA180" i="56" s="1"/>
  <c r="AB180" i="56" s="1"/>
  <c r="J97" i="56"/>
  <c r="AM176" i="56"/>
  <c r="J81" i="56"/>
  <c r="H55" i="57"/>
  <c r="G55" i="57"/>
  <c r="V123" i="57"/>
  <c r="V124" i="57"/>
  <c r="V125" i="57"/>
  <c r="J128" i="57"/>
  <c r="J156" i="57" s="1"/>
  <c r="G56" i="57"/>
  <c r="H56" i="57"/>
  <c r="R140" i="55"/>
  <c r="N13" i="47"/>
  <c r="N11" i="47"/>
  <c r="R137" i="55"/>
  <c r="I99" i="56"/>
  <c r="AC178" i="56"/>
  <c r="AD178" i="56" s="1"/>
  <c r="AE178" i="56" s="1"/>
  <c r="AF178" i="56" s="1"/>
  <c r="AG178" i="56" s="1"/>
  <c r="AH178" i="56" s="1"/>
  <c r="AI178" i="56" s="1"/>
  <c r="AJ178" i="56" s="1"/>
  <c r="AK178" i="56" s="1"/>
  <c r="AL178" i="56" s="1"/>
  <c r="I83" i="56"/>
  <c r="T178" i="56"/>
  <c r="U178" i="56" s="1"/>
  <c r="V178" i="56" s="1"/>
  <c r="W178" i="56" s="1"/>
  <c r="X178" i="56" s="1"/>
  <c r="Y178" i="56" s="1"/>
  <c r="Z178" i="56" s="1"/>
  <c r="AA178" i="56" s="1"/>
  <c r="AB178" i="56" s="1"/>
  <c r="J99" i="56"/>
  <c r="J83" i="56"/>
  <c r="AM178" i="56"/>
  <c r="T37" i="55"/>
  <c r="P134" i="47"/>
  <c r="W125" i="57"/>
  <c r="W123" i="57"/>
  <c r="W124" i="57"/>
  <c r="T119" i="57"/>
  <c r="T121" i="57"/>
  <c r="T120" i="57"/>
  <c r="W47" i="57"/>
  <c r="R234" i="55"/>
  <c r="N52" i="47"/>
  <c r="J127" i="57"/>
  <c r="J154" i="57" s="1"/>
  <c r="J54" i="57"/>
  <c r="R77" i="55"/>
  <c r="R136" i="55"/>
  <c r="N16" i="47"/>
  <c r="AM77" i="53"/>
  <c r="AN8" i="53"/>
  <c r="AM76" i="53"/>
  <c r="AO5" i="53"/>
  <c r="AO67" i="53"/>
  <c r="AO104" i="53" s="1"/>
  <c r="AO12" i="53" a="1"/>
  <c r="AO12" i="53" s="1"/>
  <c r="AO11" i="53" s="1"/>
  <c r="AP4" i="53"/>
  <c r="AO3" i="53"/>
  <c r="AO7" i="53"/>
  <c r="AO22" i="53"/>
  <c r="AO25" i="53" s="1"/>
  <c r="AO6" i="53"/>
  <c r="AM88" i="53"/>
  <c r="AN88" i="53" s="1"/>
  <c r="AJ25" i="35"/>
  <c r="AF6" i="47"/>
  <c r="AE8" i="47"/>
  <c r="AI23" i="35"/>
  <c r="AE5" i="47"/>
  <c r="AI22" i="35"/>
  <c r="AI24" i="35"/>
  <c r="AE9" i="47"/>
  <c r="AE7" i="47"/>
  <c r="AI26" i="35"/>
  <c r="AD180" i="56" l="1"/>
  <c r="AE180" i="56" s="1"/>
  <c r="AF180" i="56" s="1"/>
  <c r="AG180" i="56" s="1"/>
  <c r="AH180" i="56" s="1"/>
  <c r="AI180" i="56" s="1"/>
  <c r="AJ180" i="56" s="1"/>
  <c r="AK180" i="56" s="1"/>
  <c r="AL180" i="56" s="1"/>
  <c r="AD175" i="56"/>
  <c r="AE175" i="56" s="1"/>
  <c r="AF175" i="56" s="1"/>
  <c r="AG175" i="56" s="1"/>
  <c r="AH175" i="56" s="1"/>
  <c r="AI175" i="56" s="1"/>
  <c r="AJ175" i="56" s="1"/>
  <c r="AK175" i="56" s="1"/>
  <c r="AL175" i="56" s="1"/>
  <c r="R111" i="56"/>
  <c r="Q132" i="56" s="1"/>
  <c r="N87" i="47" s="1"/>
  <c r="H155" i="57"/>
  <c r="H167" i="57" s="1"/>
  <c r="H152" i="57"/>
  <c r="H249" i="57"/>
  <c r="AB256" i="57" s="1"/>
  <c r="H248" i="57"/>
  <c r="T111" i="56"/>
  <c r="S132" i="56" s="1"/>
  <c r="O87" i="47" s="1"/>
  <c r="H250" i="57"/>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I151" i="57"/>
  <c r="I188" i="57" s="1"/>
  <c r="AC202" i="57" s="1"/>
  <c r="AD48" i="29"/>
  <c r="AA84" i="47" s="1"/>
  <c r="I149" i="57"/>
  <c r="I186" i="57" s="1"/>
  <c r="AC200" i="5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C111" i="56"/>
  <c r="AB132" i="56" s="1"/>
  <c r="AD171" i="56"/>
  <c r="AE171" i="56" s="1"/>
  <c r="AF171" i="56" s="1"/>
  <c r="AG171" i="56" s="1"/>
  <c r="AH171" i="56" s="1"/>
  <c r="AI171" i="56" s="1"/>
  <c r="AJ171" i="56" s="1"/>
  <c r="AK171" i="56" s="1"/>
  <c r="AL171" i="56" s="1"/>
  <c r="T172" i="56"/>
  <c r="U172" i="56" s="1"/>
  <c r="V172" i="56" s="1"/>
  <c r="W172" i="56" s="1"/>
  <c r="X172" i="56" s="1"/>
  <c r="Y172" i="56" s="1"/>
  <c r="Z172" i="56" s="1"/>
  <c r="AA172" i="56" s="1"/>
  <c r="AB172" i="56" s="1"/>
  <c r="M87" i="47"/>
  <c r="L87" i="47"/>
  <c r="AD177" i="56"/>
  <c r="AE177" i="56" s="1"/>
  <c r="AF177" i="56" s="1"/>
  <c r="AG177" i="56" s="1"/>
  <c r="AH177" i="56" s="1"/>
  <c r="AI177" i="56" s="1"/>
  <c r="AJ177" i="56" s="1"/>
  <c r="AK177" i="56" s="1"/>
  <c r="AL177" i="56" s="1"/>
  <c r="S122" i="56"/>
  <c r="R143" i="56" s="1"/>
  <c r="S182" i="56" s="1"/>
  <c r="Q122" i="56"/>
  <c r="Q118" i="56"/>
  <c r="P139" i="56" s="1"/>
  <c r="S118" i="56"/>
  <c r="R139" i="56" s="1"/>
  <c r="Q115" i="56"/>
  <c r="P136" i="56" s="1"/>
  <c r="S115" i="56"/>
  <c r="R136" i="56" s="1"/>
  <c r="Q116" i="56"/>
  <c r="P137" i="56" s="1"/>
  <c r="S116" i="56"/>
  <c r="R137" i="56" s="1"/>
  <c r="Q114" i="56"/>
  <c r="P135" i="56" s="1"/>
  <c r="S114" i="56"/>
  <c r="R135" i="56" s="1"/>
  <c r="Q113" i="56"/>
  <c r="P134" i="56" s="1"/>
  <c r="S113" i="56"/>
  <c r="R134" i="56" s="1"/>
  <c r="Q120" i="56"/>
  <c r="P141" i="56" s="1"/>
  <c r="S120" i="56"/>
  <c r="R141" i="56" s="1"/>
  <c r="AM123" i="56"/>
  <c r="AL144" i="56" s="1"/>
  <c r="Q119" i="56"/>
  <c r="P140" i="56" s="1"/>
  <c r="S119" i="56"/>
  <c r="R140" i="56" s="1"/>
  <c r="S121" i="56"/>
  <c r="R142" i="56" s="1"/>
  <c r="S181" i="56" s="1"/>
  <c r="Q121" i="56"/>
  <c r="P142" i="56" s="1"/>
  <c r="L97" i="47" s="1"/>
  <c r="Q112" i="56"/>
  <c r="P133" i="56" s="1"/>
  <c r="S112" i="56"/>
  <c r="R133" i="56" s="1"/>
  <c r="Q117" i="56"/>
  <c r="P138" i="56" s="1"/>
  <c r="S117" i="56"/>
  <c r="R138" i="56" s="1"/>
  <c r="I153" i="57"/>
  <c r="I155" i="57"/>
  <c r="I167" i="57" s="1"/>
  <c r="R215" i="57"/>
  <c r="S201" i="57"/>
  <c r="T201" i="57" s="1"/>
  <c r="U201" i="57" s="1"/>
  <c r="V201" i="57" s="1"/>
  <c r="W201" i="57" s="1"/>
  <c r="X201" i="57" s="1"/>
  <c r="Y201" i="57" s="1"/>
  <c r="Z201" i="57" s="1"/>
  <c r="AA201" i="57" s="1"/>
  <c r="AB201" i="57" s="1"/>
  <c r="R216" i="57"/>
  <c r="S202" i="57"/>
  <c r="G186" i="57"/>
  <c r="G112" i="57"/>
  <c r="O201" i="57"/>
  <c r="N215" i="57"/>
  <c r="P201" i="57"/>
  <c r="Q201" i="57" s="1"/>
  <c r="R201" i="57" s="1"/>
  <c r="U128" i="57"/>
  <c r="U156" i="57" s="1"/>
  <c r="U168" i="57" s="1"/>
  <c r="N216" i="57"/>
  <c r="O202" i="57"/>
  <c r="P202" i="57"/>
  <c r="Q202" i="57" s="1"/>
  <c r="R202" i="57" s="1"/>
  <c r="U129" i="57"/>
  <c r="U152" i="57" s="1"/>
  <c r="U164" i="57" s="1"/>
  <c r="AE123" i="56"/>
  <c r="AD144" i="56" s="1"/>
  <c r="AE183" i="56" s="1"/>
  <c r="H186" i="57"/>
  <c r="M186" i="57" s="1"/>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H112" i="57"/>
  <c r="I193" i="57"/>
  <c r="G251" i="57"/>
  <c r="R258" i="57" s="1"/>
  <c r="U127" i="57"/>
  <c r="U154" i="57" s="1"/>
  <c r="U166" i="57" s="1"/>
  <c r="I89" i="56"/>
  <c r="H252" i="57"/>
  <c r="AB259" i="57" s="1"/>
  <c r="O32" i="47"/>
  <c r="S71" i="55"/>
  <c r="P36" i="47" s="1"/>
  <c r="S239" i="55"/>
  <c r="P55" i="47" s="1"/>
  <c r="O54" i="47"/>
  <c r="S76" i="55"/>
  <c r="P39" i="47" s="1"/>
  <c r="O45" i="47"/>
  <c r="O23" i="47"/>
  <c r="S75" i="55"/>
  <c r="P35" i="47" s="1"/>
  <c r="S73" i="55"/>
  <c r="T73" i="55" s="1"/>
  <c r="O40" i="47"/>
  <c r="S162" i="55"/>
  <c r="P49" i="47" s="1"/>
  <c r="S233" i="55"/>
  <c r="P57" i="47" s="1"/>
  <c r="S79" i="55"/>
  <c r="P33" i="47" s="1"/>
  <c r="O26" i="47"/>
  <c r="S196" i="55"/>
  <c r="T196" i="55" s="1"/>
  <c r="K51" i="57"/>
  <c r="H251" i="57"/>
  <c r="G253" i="57"/>
  <c r="R260" i="57" s="1"/>
  <c r="S194" i="55"/>
  <c r="T194" i="55" s="1"/>
  <c r="G252" i="57"/>
  <c r="N259" i="57" s="1"/>
  <c r="O259" i="57" s="1"/>
  <c r="P259" i="57" s="1"/>
  <c r="Q259" i="57" s="1"/>
  <c r="P129" i="57"/>
  <c r="P152" i="57" s="1"/>
  <c r="P164" i="57" s="1"/>
  <c r="P128" i="57"/>
  <c r="P156" i="57" s="1"/>
  <c r="P168" i="57" s="1"/>
  <c r="P57" i="57"/>
  <c r="P50" i="57"/>
  <c r="Q49" i="57"/>
  <c r="P127" i="57"/>
  <c r="P154" i="57" s="1"/>
  <c r="P166" i="57" s="1"/>
  <c r="I166" i="57"/>
  <c r="I191" i="57"/>
  <c r="O20" i="47"/>
  <c r="S151" i="55"/>
  <c r="O30" i="47"/>
  <c r="S203" i="55"/>
  <c r="T57" i="57"/>
  <c r="T50" i="57"/>
  <c r="K82" i="56"/>
  <c r="K98" i="56"/>
  <c r="AM117" i="56" s="1"/>
  <c r="AL138" i="56" s="1"/>
  <c r="S139" i="55"/>
  <c r="O18" i="47"/>
  <c r="S236" i="55"/>
  <c r="O53" i="47"/>
  <c r="W127" i="57"/>
  <c r="W154" i="57" s="1"/>
  <c r="W166" i="57" s="1"/>
  <c r="O16" i="47"/>
  <c r="S136" i="55"/>
  <c r="O13" i="47"/>
  <c r="S140" i="55"/>
  <c r="O132" i="47"/>
  <c r="S253" i="55"/>
  <c r="O12" i="47"/>
  <c r="S142" i="55"/>
  <c r="O29" i="47"/>
  <c r="S198" i="55"/>
  <c r="T129" i="57"/>
  <c r="AC121" i="56"/>
  <c r="AB142" i="56" s="1"/>
  <c r="R127" i="47"/>
  <c r="V28" i="55"/>
  <c r="K95" i="56"/>
  <c r="AM114" i="56" s="1"/>
  <c r="AL135" i="56" s="1"/>
  <c r="K79" i="56"/>
  <c r="P92" i="56"/>
  <c r="P76" i="56"/>
  <c r="Q43" i="56"/>
  <c r="O101" i="56"/>
  <c r="O85" i="56"/>
  <c r="H168" i="57"/>
  <c r="H193" i="57"/>
  <c r="N129" i="57"/>
  <c r="P23" i="47"/>
  <c r="T201" i="55"/>
  <c r="W129" i="57"/>
  <c r="T128" i="57"/>
  <c r="T156" i="57" s="1"/>
  <c r="T168" i="57" s="1"/>
  <c r="O25" i="47"/>
  <c r="S197" i="55"/>
  <c r="S134" i="55"/>
  <c r="O15" i="47"/>
  <c r="O27" i="47"/>
  <c r="S195" i="55"/>
  <c r="K84" i="56"/>
  <c r="K100" i="56"/>
  <c r="O41" i="47"/>
  <c r="S81" i="55"/>
  <c r="O47" i="47"/>
  <c r="S155" i="55"/>
  <c r="O28" i="47"/>
  <c r="S200" i="55"/>
  <c r="O127" i="57"/>
  <c r="O154" i="57" s="1"/>
  <c r="O166" i="57" s="1"/>
  <c r="O97" i="56"/>
  <c r="O81" i="56"/>
  <c r="AC119" i="56"/>
  <c r="AB140" i="56" s="1"/>
  <c r="J193" i="57"/>
  <c r="J168" i="57"/>
  <c r="AL235" i="57" s="1"/>
  <c r="K87" i="57"/>
  <c r="K90" i="57" s="1"/>
  <c r="K125" i="57" s="1"/>
  <c r="K109" i="57"/>
  <c r="O31" i="47"/>
  <c r="S72" i="55"/>
  <c r="R256" i="57"/>
  <c r="S256" i="57" s="1"/>
  <c r="T256" i="57" s="1"/>
  <c r="U256" i="57" s="1"/>
  <c r="V256" i="57" s="1"/>
  <c r="W256" i="57" s="1"/>
  <c r="X256" i="57" s="1"/>
  <c r="Y256" i="57" s="1"/>
  <c r="Z256" i="57" s="1"/>
  <c r="AA256" i="57" s="1"/>
  <c r="N256" i="57"/>
  <c r="O256" i="57" s="1"/>
  <c r="P256" i="57" s="1"/>
  <c r="Q256" i="57" s="1"/>
  <c r="T127" i="57"/>
  <c r="T154" i="57" s="1"/>
  <c r="T166" i="57" s="1"/>
  <c r="U50" i="57"/>
  <c r="U57" i="57"/>
  <c r="O19" i="47"/>
  <c r="S144" i="55"/>
  <c r="N50" i="57"/>
  <c r="N57" i="57"/>
  <c r="P45" i="47"/>
  <c r="T161" i="55"/>
  <c r="K94" i="56"/>
  <c r="AM113" i="56" s="1"/>
  <c r="AL134" i="56" s="1"/>
  <c r="K78" i="56"/>
  <c r="O128" i="57"/>
  <c r="O156" i="57" s="1"/>
  <c r="O168" i="57" s="1"/>
  <c r="O79" i="56"/>
  <c r="O95" i="56"/>
  <c r="T31" i="55"/>
  <c r="P129" i="47"/>
  <c r="O42" i="47"/>
  <c r="S156" i="55"/>
  <c r="O61" i="47"/>
  <c r="S243" i="55"/>
  <c r="N258" i="57"/>
  <c r="O258" i="57" s="1"/>
  <c r="O51" i="47"/>
  <c r="S165" i="55"/>
  <c r="O82" i="56"/>
  <c r="O98" i="56"/>
  <c r="O17" i="47"/>
  <c r="S141" i="55"/>
  <c r="K46" i="56"/>
  <c r="K47" i="56"/>
  <c r="L48" i="56"/>
  <c r="P32" i="47"/>
  <c r="T74" i="55"/>
  <c r="AB215" i="57"/>
  <c r="AC201" i="57"/>
  <c r="M187" i="57"/>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S215" i="57"/>
  <c r="O57" i="57"/>
  <c r="O50" i="57"/>
  <c r="AM183" i="56"/>
  <c r="O50" i="47"/>
  <c r="S160" i="55"/>
  <c r="M188" i="57"/>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AB216" i="57"/>
  <c r="I253" i="57"/>
  <c r="H191" i="57"/>
  <c r="H166" i="57"/>
  <c r="P47" i="56"/>
  <c r="P87" i="56" s="1"/>
  <c r="P46" i="56"/>
  <c r="Q48" i="56"/>
  <c r="T115" i="56"/>
  <c r="S136" i="56" s="1"/>
  <c r="O91" i="47" s="1"/>
  <c r="AC115" i="56"/>
  <c r="AB136" i="56" s="1"/>
  <c r="O96" i="56"/>
  <c r="O80" i="56"/>
  <c r="J93" i="56"/>
  <c r="AC112" i="56" s="1"/>
  <c r="AB133" i="56" s="1"/>
  <c r="J77" i="56"/>
  <c r="AM172" i="56"/>
  <c r="AD172" i="56"/>
  <c r="AE172" i="56" s="1"/>
  <c r="AF172" i="56" s="1"/>
  <c r="AG172" i="56" s="1"/>
  <c r="AH172" i="56" s="1"/>
  <c r="AI172" i="56" s="1"/>
  <c r="AJ172" i="56" s="1"/>
  <c r="AK172" i="56" s="1"/>
  <c r="AL172" i="56" s="1"/>
  <c r="V49" i="57"/>
  <c r="W49" i="57" s="1"/>
  <c r="I251" i="57"/>
  <c r="AL258" i="57" s="1"/>
  <c r="T118" i="56"/>
  <c r="S139" i="56" s="1"/>
  <c r="O94" i="47" s="1"/>
  <c r="AC118" i="56"/>
  <c r="AB139" i="56" s="1"/>
  <c r="O10" i="47"/>
  <c r="S135" i="55"/>
  <c r="AD183" i="56"/>
  <c r="Y99" i="47"/>
  <c r="AC116" i="56"/>
  <c r="AB137" i="56" s="1"/>
  <c r="V128" i="57"/>
  <c r="V156" i="57" s="1"/>
  <c r="V168" i="57" s="1"/>
  <c r="L51" i="56"/>
  <c r="AN173" i="56" s="1"/>
  <c r="L59" i="56"/>
  <c r="L52" i="56"/>
  <c r="AN174" i="56" s="1"/>
  <c r="L53" i="56"/>
  <c r="L56" i="56"/>
  <c r="L58" i="56"/>
  <c r="L54" i="56"/>
  <c r="L57" i="56"/>
  <c r="AN179" i="56" s="1"/>
  <c r="AO179" i="56" s="1"/>
  <c r="AP179" i="56" s="1"/>
  <c r="AQ179" i="56" s="1"/>
  <c r="L55" i="56"/>
  <c r="AO177" i="56" s="1"/>
  <c r="AP177" i="56" s="1"/>
  <c r="AQ177" i="56" s="1"/>
  <c r="T36" i="55"/>
  <c r="P133" i="47"/>
  <c r="O93" i="56"/>
  <c r="O77" i="56"/>
  <c r="O94" i="56"/>
  <c r="O78" i="56"/>
  <c r="K193" i="57"/>
  <c r="K168" i="57"/>
  <c r="J103" i="56"/>
  <c r="AC122" i="56" s="1"/>
  <c r="AB143" i="56" s="1"/>
  <c r="J87" i="56"/>
  <c r="P54" i="47"/>
  <c r="T241" i="55"/>
  <c r="AM119" i="56"/>
  <c r="AL140" i="56" s="1"/>
  <c r="O38" i="47"/>
  <c r="S78" i="55"/>
  <c r="J191" i="57"/>
  <c r="J166" i="57"/>
  <c r="O11" i="47"/>
  <c r="S137" i="55"/>
  <c r="P135" i="47"/>
  <c r="T27" i="55"/>
  <c r="K92" i="56"/>
  <c r="AM111" i="56" s="1"/>
  <c r="AL132" i="56" s="1"/>
  <c r="K76" i="56"/>
  <c r="L43" i="56"/>
  <c r="AO171" i="56" s="1"/>
  <c r="AP171" i="56" s="1"/>
  <c r="AQ171" i="56" s="1"/>
  <c r="I252" i="57"/>
  <c r="AL259" i="57" s="1"/>
  <c r="O59" i="47"/>
  <c r="S240" i="55"/>
  <c r="U153" i="57"/>
  <c r="U165" i="57" s="1"/>
  <c r="U32" i="55"/>
  <c r="Q131" i="47"/>
  <c r="V129" i="57"/>
  <c r="U33" i="55"/>
  <c r="Q130" i="47"/>
  <c r="K102" i="56"/>
  <c r="AM121" i="56" s="1"/>
  <c r="AL142" i="56" s="1"/>
  <c r="K86" i="56"/>
  <c r="AC114" i="56"/>
  <c r="AB135" i="56" s="1"/>
  <c r="J111" i="57"/>
  <c r="O83" i="56"/>
  <c r="O99" i="56"/>
  <c r="S255" i="57"/>
  <c r="T255" i="57" s="1"/>
  <c r="U255" i="57" s="1"/>
  <c r="V255" i="57" s="1"/>
  <c r="W255" i="57" s="1"/>
  <c r="X255" i="57" s="1"/>
  <c r="Y255" i="57" s="1"/>
  <c r="Z255" i="57" s="1"/>
  <c r="AA255" i="57" s="1"/>
  <c r="AB255" i="57"/>
  <c r="T120" i="56"/>
  <c r="S141" i="56" s="1"/>
  <c r="O96" i="47" s="1"/>
  <c r="AC120" i="56"/>
  <c r="AB141" i="56" s="1"/>
  <c r="AL221" i="57"/>
  <c r="AM207" i="57"/>
  <c r="P40" i="47"/>
  <c r="T88" i="55"/>
  <c r="K88" i="56"/>
  <c r="Q88" i="56"/>
  <c r="W88" i="56" s="1"/>
  <c r="L104" i="56"/>
  <c r="AN123" i="56" s="1"/>
  <c r="AO123" i="56" s="1"/>
  <c r="AP123" i="56" s="1"/>
  <c r="AQ123" i="56" s="1"/>
  <c r="AR123" i="56" s="1"/>
  <c r="AM144" i="56" s="1"/>
  <c r="I190" i="57"/>
  <c r="I165" i="57"/>
  <c r="N127" i="57"/>
  <c r="N154" i="57" s="1"/>
  <c r="N166" i="57" s="1"/>
  <c r="U111" i="56"/>
  <c r="V127" i="57"/>
  <c r="V154" i="57" s="1"/>
  <c r="V166" i="57" s="1"/>
  <c r="K97" i="56"/>
  <c r="AM116" i="56" s="1"/>
  <c r="AL137" i="56" s="1"/>
  <c r="K81" i="56"/>
  <c r="AO176" i="56"/>
  <c r="AP176" i="56" s="1"/>
  <c r="AQ176" i="56" s="1"/>
  <c r="AN176" i="56"/>
  <c r="O43" i="47"/>
  <c r="S158" i="55"/>
  <c r="J155" i="57"/>
  <c r="J152" i="57"/>
  <c r="J153" i="57"/>
  <c r="O84" i="56"/>
  <c r="O100" i="56"/>
  <c r="T113" i="56"/>
  <c r="S134" i="56" s="1"/>
  <c r="O89" i="47" s="1"/>
  <c r="AC113" i="56"/>
  <c r="AB134" i="56" s="1"/>
  <c r="Q127" i="57"/>
  <c r="Q154" i="57" s="1"/>
  <c r="Q166" i="57" s="1"/>
  <c r="AB257" i="57"/>
  <c r="S234" i="55"/>
  <c r="O52" i="47"/>
  <c r="P53" i="56"/>
  <c r="P58" i="56"/>
  <c r="P54" i="56"/>
  <c r="P56" i="56"/>
  <c r="P55" i="56"/>
  <c r="P52" i="56"/>
  <c r="P59" i="56"/>
  <c r="P86" i="56" s="1"/>
  <c r="AC77" i="56" s="1"/>
  <c r="P51" i="56"/>
  <c r="P57" i="56"/>
  <c r="Q60" i="56"/>
  <c r="U34" i="55"/>
  <c r="Q128" i="47"/>
  <c r="O58" i="47"/>
  <c r="S235" i="55"/>
  <c r="N128" i="57"/>
  <c r="N156" i="57" s="1"/>
  <c r="N168" i="57" s="1"/>
  <c r="O44" i="47"/>
  <c r="S163" i="55"/>
  <c r="U46" i="56"/>
  <c r="U47" i="56"/>
  <c r="U87" i="56" s="1"/>
  <c r="V48" i="56"/>
  <c r="K83" i="56"/>
  <c r="K99" i="56"/>
  <c r="AM118" i="56" s="1"/>
  <c r="AL139" i="56" s="1"/>
  <c r="AN178" i="56"/>
  <c r="AO178" i="56"/>
  <c r="AP178" i="56" s="1"/>
  <c r="AQ178" i="56" s="1"/>
  <c r="O24" i="47"/>
  <c r="S199" i="55"/>
  <c r="T117" i="56"/>
  <c r="S138" i="56" s="1"/>
  <c r="O93" i="47" s="1"/>
  <c r="AC117" i="56"/>
  <c r="AB138" i="56" s="1"/>
  <c r="H164" i="57"/>
  <c r="H189" i="57"/>
  <c r="O56" i="47"/>
  <c r="S237" i="55"/>
  <c r="Q129" i="57"/>
  <c r="O46" i="47"/>
  <c r="S159" i="55"/>
  <c r="I189" i="57"/>
  <c r="I164" i="57"/>
  <c r="U51" i="56"/>
  <c r="U52" i="56"/>
  <c r="U56" i="56"/>
  <c r="U54" i="56"/>
  <c r="U58" i="56"/>
  <c r="U55" i="56"/>
  <c r="U57" i="56"/>
  <c r="U53" i="56"/>
  <c r="U59" i="56"/>
  <c r="U86" i="56" s="1"/>
  <c r="AH77" i="56" s="1"/>
  <c r="V60" i="56"/>
  <c r="O48" i="47"/>
  <c r="S157" i="55"/>
  <c r="AN175" i="56"/>
  <c r="K80" i="56"/>
  <c r="K96" i="56"/>
  <c r="AM115" i="56" s="1"/>
  <c r="AL136" i="56" s="1"/>
  <c r="AO175" i="56"/>
  <c r="AP175" i="56" s="1"/>
  <c r="AQ175" i="56" s="1"/>
  <c r="O14" i="47"/>
  <c r="S138" i="55"/>
  <c r="H190" i="57"/>
  <c r="H165" i="57"/>
  <c r="O60" i="47"/>
  <c r="S238" i="55"/>
  <c r="N257" i="57"/>
  <c r="O257" i="57" s="1"/>
  <c r="P257" i="57" s="1"/>
  <c r="Q257" i="57" s="1"/>
  <c r="R257" i="57"/>
  <c r="S257" i="57" s="1"/>
  <c r="T257" i="57" s="1"/>
  <c r="U257" i="57" s="1"/>
  <c r="V257" i="57" s="1"/>
  <c r="W257" i="57" s="1"/>
  <c r="X257" i="57" s="1"/>
  <c r="Y257" i="57" s="1"/>
  <c r="Z257" i="57" s="1"/>
  <c r="AA257" i="57" s="1"/>
  <c r="O129" i="57"/>
  <c r="Q128" i="57"/>
  <c r="Q156" i="57" s="1"/>
  <c r="Q168" i="57" s="1"/>
  <c r="U37" i="55"/>
  <c r="Q134" i="47"/>
  <c r="O34" i="47"/>
  <c r="S77" i="55"/>
  <c r="H253" i="57"/>
  <c r="K166" i="57"/>
  <c r="K191" i="57"/>
  <c r="U76" i="56"/>
  <c r="U92" i="56"/>
  <c r="V43" i="56"/>
  <c r="T144" i="56"/>
  <c r="V123" i="56"/>
  <c r="K101" i="56"/>
  <c r="AM120" i="56" s="1"/>
  <c r="AL141" i="56" s="1"/>
  <c r="K85" i="56"/>
  <c r="AN180" i="56"/>
  <c r="AO180" i="56" s="1"/>
  <c r="AP180" i="56" s="1"/>
  <c r="AQ180" i="56" s="1"/>
  <c r="N260" i="57"/>
  <c r="O260" i="57" s="1"/>
  <c r="P26" i="47"/>
  <c r="T193" i="55"/>
  <c r="W128" i="57"/>
  <c r="W156" i="57" s="1"/>
  <c r="W168" i="57" s="1"/>
  <c r="AN77" i="53"/>
  <c r="AN76" i="53"/>
  <c r="AO8" i="53"/>
  <c r="AO77" i="53" s="1"/>
  <c r="AP22" i="53"/>
  <c r="AP25" i="53" s="1"/>
  <c r="AP3" i="53"/>
  <c r="AP5" i="53"/>
  <c r="AP6" i="53"/>
  <c r="AP67" i="53"/>
  <c r="AP104" i="53" s="1"/>
  <c r="AP12" i="53" a="1"/>
  <c r="AP12" i="53" s="1"/>
  <c r="AP11" i="53" s="1"/>
  <c r="AQ4" i="53"/>
  <c r="AP7" i="53"/>
  <c r="AN87" i="53"/>
  <c r="AO87" i="53" s="1"/>
  <c r="AF7" i="47"/>
  <c r="AJ26" i="35"/>
  <c r="AJ24" i="35"/>
  <c r="AF9" i="47"/>
  <c r="AK25" i="35"/>
  <c r="AG6" i="47"/>
  <c r="AJ22" i="35"/>
  <c r="AF5" i="47"/>
  <c r="AF8" i="47"/>
  <c r="AJ23" i="35"/>
  <c r="I192" i="57" l="1"/>
  <c r="AC206" i="57" s="1"/>
  <c r="H192" i="57"/>
  <c r="P220" i="57" s="1"/>
  <c r="Q220" i="57" s="1"/>
  <c r="M107" i="47" s="1"/>
  <c r="AB214" i="57"/>
  <c r="P260" i="57"/>
  <c r="Q260" i="57" s="1"/>
  <c r="T202" i="57"/>
  <c r="U202" i="57" s="1"/>
  <c r="V202" i="57" s="1"/>
  <c r="W202" i="57" s="1"/>
  <c r="X202" i="57" s="1"/>
  <c r="Y202" i="57" s="1"/>
  <c r="Z202" i="57" s="1"/>
  <c r="AA202" i="57" s="1"/>
  <c r="AB202" i="57" s="1"/>
  <c r="S216" i="57"/>
  <c r="T216" i="57" s="1"/>
  <c r="O101" i="47" s="1"/>
  <c r="AO88" i="53"/>
  <c r="AO174" i="56"/>
  <c r="AP174" i="56" s="1"/>
  <c r="AQ174" i="56" s="1"/>
  <c r="U155" i="57"/>
  <c r="U167" i="57" s="1"/>
  <c r="R120" i="56"/>
  <c r="Q141" i="56" s="1"/>
  <c r="N96" i="47" s="1"/>
  <c r="T114" i="56"/>
  <c r="S135" i="56" s="1"/>
  <c r="O90" i="47" s="1"/>
  <c r="P258" i="57"/>
  <c r="Q258" i="57" s="1"/>
  <c r="R117" i="56"/>
  <c r="Q138" i="56" s="1"/>
  <c r="N93" i="47" s="1"/>
  <c r="AN171" i="56"/>
  <c r="R119" i="56"/>
  <c r="Q140" i="56" s="1"/>
  <c r="N95" i="47" s="1"/>
  <c r="AN177" i="56"/>
  <c r="R118" i="56"/>
  <c r="Q139" i="56" s="1"/>
  <c r="N94" i="47" s="1"/>
  <c r="T116" i="56"/>
  <c r="S137" i="56" s="1"/>
  <c r="O92" i="47" s="1"/>
  <c r="AE48" i="29"/>
  <c r="T119" i="56"/>
  <c r="S140" i="56" s="1"/>
  <c r="O95" i="47" s="1"/>
  <c r="AF123" i="56"/>
  <c r="AE50" i="29"/>
  <c r="AB86" i="47" s="1"/>
  <c r="AO173" i="56"/>
  <c r="AP173" i="56" s="1"/>
  <c r="AQ173" i="56" s="1"/>
  <c r="T121" i="56"/>
  <c r="S142" i="56" s="1"/>
  <c r="Z99" i="47"/>
  <c r="R121" i="56"/>
  <c r="Q142" i="56" s="1"/>
  <c r="M97" i="47" s="1"/>
  <c r="AC108" i="47"/>
  <c r="AG51" i="29"/>
  <c r="AB84" i="47"/>
  <c r="AF48" i="29"/>
  <c r="AA85" i="47"/>
  <c r="AE49" i="29"/>
  <c r="L93" i="47"/>
  <c r="M96" i="47"/>
  <c r="L96" i="47"/>
  <c r="M94" i="47"/>
  <c r="L94" i="47"/>
  <c r="L88" i="47"/>
  <c r="L89" i="47"/>
  <c r="AD111" i="56"/>
  <c r="AC132" i="56" s="1"/>
  <c r="Y87" i="47" s="1"/>
  <c r="L90" i="47"/>
  <c r="R116" i="56"/>
  <c r="Q137" i="56" s="1"/>
  <c r="N92" i="47" s="1"/>
  <c r="L92" i="47"/>
  <c r="T112" i="56"/>
  <c r="S133" i="56" s="1"/>
  <c r="O88" i="47" s="1"/>
  <c r="L95" i="47"/>
  <c r="L91" i="47"/>
  <c r="R115" i="56"/>
  <c r="Q136" i="56" s="1"/>
  <c r="N91" i="47" s="1"/>
  <c r="R112" i="56"/>
  <c r="Q133" i="56" s="1"/>
  <c r="N88" i="47" s="1"/>
  <c r="R113" i="56"/>
  <c r="Q134" i="56" s="1"/>
  <c r="N89" i="47" s="1"/>
  <c r="T122" i="56"/>
  <c r="S143" i="56" s="1"/>
  <c r="R181" i="56"/>
  <c r="N97" i="47"/>
  <c r="Q181" i="56"/>
  <c r="R122" i="56"/>
  <c r="Q143" i="56" s="1"/>
  <c r="P143" i="56"/>
  <c r="L98" i="47" s="1"/>
  <c r="R114" i="56"/>
  <c r="Q135" i="56" s="1"/>
  <c r="N90" i="47" s="1"/>
  <c r="AD119" i="56"/>
  <c r="AC140" i="56" s="1"/>
  <c r="Y95" i="47" s="1"/>
  <c r="AD121" i="56"/>
  <c r="AC142" i="56" s="1"/>
  <c r="U118" i="56"/>
  <c r="T139" i="56" s="1"/>
  <c r="P94" i="47" s="1"/>
  <c r="I102" i="47"/>
  <c r="I101" i="47"/>
  <c r="N101" i="47"/>
  <c r="N102" i="47"/>
  <c r="R233" i="57"/>
  <c r="S233" i="57" s="1"/>
  <c r="T233" i="57" s="1"/>
  <c r="U233" i="57" s="1"/>
  <c r="V233" i="57" s="1"/>
  <c r="W233" i="57" s="1"/>
  <c r="X233" i="57" s="1"/>
  <c r="Y233" i="57" s="1"/>
  <c r="Z233" i="57" s="1"/>
  <c r="AA233" i="57" s="1"/>
  <c r="P233" i="57"/>
  <c r="Q233" i="57" s="1"/>
  <c r="R232" i="57"/>
  <c r="S232" i="57" s="1"/>
  <c r="T232" i="57" s="1"/>
  <c r="U232" i="57" s="1"/>
  <c r="V232" i="57" s="1"/>
  <c r="W232" i="57" s="1"/>
  <c r="X232" i="57" s="1"/>
  <c r="Y232" i="57" s="1"/>
  <c r="Z232" i="57" s="1"/>
  <c r="AA232" i="57" s="1"/>
  <c r="P232" i="57"/>
  <c r="Q232" i="57" s="1"/>
  <c r="P218" i="57"/>
  <c r="Q218" i="57" s="1"/>
  <c r="M106" i="47" s="1"/>
  <c r="P219" i="57"/>
  <c r="Q219" i="57" s="1"/>
  <c r="R234" i="57"/>
  <c r="S234" i="57" s="1"/>
  <c r="T234" i="57" s="1"/>
  <c r="U234" i="57" s="1"/>
  <c r="V234" i="57" s="1"/>
  <c r="W234" i="57" s="1"/>
  <c r="X234" i="57" s="1"/>
  <c r="Y234" i="57" s="1"/>
  <c r="Z234" i="57" s="1"/>
  <c r="AA234" i="57" s="1"/>
  <c r="P234" i="57"/>
  <c r="Q234" i="57" s="1"/>
  <c r="P217" i="57"/>
  <c r="R231" i="57"/>
  <c r="S231" i="57" s="1"/>
  <c r="T231" i="57" s="1"/>
  <c r="U231" i="57" s="1"/>
  <c r="V231" i="57" s="1"/>
  <c r="W231" i="57" s="1"/>
  <c r="X231" i="57" s="1"/>
  <c r="Y231" i="57" s="1"/>
  <c r="Z231" i="57" s="1"/>
  <c r="AA231" i="57" s="1"/>
  <c r="P231" i="57"/>
  <c r="Q231" i="57" s="1"/>
  <c r="P221" i="57"/>
  <c r="Q221" i="57" s="1"/>
  <c r="M105" i="47" s="1"/>
  <c r="R235" i="57"/>
  <c r="P235" i="57"/>
  <c r="Q235" i="57" s="1"/>
  <c r="S258" i="57"/>
  <c r="T258" i="57" s="1"/>
  <c r="U258" i="57" s="1"/>
  <c r="V258" i="57" s="1"/>
  <c r="W258" i="57" s="1"/>
  <c r="X258" i="57" s="1"/>
  <c r="Y258" i="57" s="1"/>
  <c r="Z258" i="57" s="1"/>
  <c r="AA258" i="57" s="1"/>
  <c r="Q204" i="57"/>
  <c r="R204" i="57" s="1"/>
  <c r="R218" i="57"/>
  <c r="S218" i="57" s="1"/>
  <c r="S204" i="57"/>
  <c r="T204" i="57" s="1"/>
  <c r="U204" i="57" s="1"/>
  <c r="V204" i="57" s="1"/>
  <c r="W204" i="57" s="1"/>
  <c r="X204" i="57" s="1"/>
  <c r="Y204" i="57" s="1"/>
  <c r="Z204" i="57" s="1"/>
  <c r="AA204" i="57" s="1"/>
  <c r="AB204" i="57" s="1"/>
  <c r="S207" i="57"/>
  <c r="T207" i="57" s="1"/>
  <c r="U207" i="57" s="1"/>
  <c r="V207" i="57" s="1"/>
  <c r="W207" i="57" s="1"/>
  <c r="X207" i="57" s="1"/>
  <c r="Y207" i="57" s="1"/>
  <c r="Z207" i="57" s="1"/>
  <c r="AA207" i="57" s="1"/>
  <c r="AB207" i="57" s="1"/>
  <c r="R221" i="57"/>
  <c r="Q207" i="57"/>
  <c r="R207" i="57" s="1"/>
  <c r="O216" i="57"/>
  <c r="J101" i="47" s="1"/>
  <c r="N214" i="57"/>
  <c r="O200" i="57"/>
  <c r="P200" i="57" s="1"/>
  <c r="Q200" i="57" s="1"/>
  <c r="R200" i="57" s="1"/>
  <c r="O214" i="57"/>
  <c r="Q203" i="57"/>
  <c r="R203" i="57" s="1"/>
  <c r="R217" i="57"/>
  <c r="S203" i="57"/>
  <c r="T203" i="57" s="1"/>
  <c r="U203" i="57" s="1"/>
  <c r="V203" i="57" s="1"/>
  <c r="W203" i="57" s="1"/>
  <c r="X203" i="57" s="1"/>
  <c r="Y203" i="57" s="1"/>
  <c r="Z203" i="57" s="1"/>
  <c r="AA203" i="57" s="1"/>
  <c r="AB203" i="57" s="1"/>
  <c r="R220" i="57"/>
  <c r="R219" i="57"/>
  <c r="S205" i="57"/>
  <c r="Q205" i="57"/>
  <c r="R205" i="57" s="1"/>
  <c r="AB258" i="57"/>
  <c r="AC258" i="57" s="1"/>
  <c r="AD258" i="57" s="1"/>
  <c r="AE258" i="57" s="1"/>
  <c r="AF258" i="57" s="1"/>
  <c r="AG258" i="57" s="1"/>
  <c r="AH258" i="57" s="1"/>
  <c r="AI258" i="57" s="1"/>
  <c r="AJ258" i="57" s="1"/>
  <c r="AK258" i="57" s="1"/>
  <c r="S200" i="57"/>
  <c r="T200" i="57" s="1"/>
  <c r="U200" i="57" s="1"/>
  <c r="V200" i="57" s="1"/>
  <c r="W200" i="57" s="1"/>
  <c r="X200" i="57" s="1"/>
  <c r="Y200" i="57" s="1"/>
  <c r="Z200" i="57" s="1"/>
  <c r="AA200" i="57" s="1"/>
  <c r="AB200" i="57" s="1"/>
  <c r="R214" i="57"/>
  <c r="O215" i="57"/>
  <c r="J102" i="47" s="1"/>
  <c r="U115" i="56"/>
  <c r="T136" i="56" s="1"/>
  <c r="P91" i="47" s="1"/>
  <c r="AD120" i="56"/>
  <c r="AC141" i="56" s="1"/>
  <c r="Y96" i="47" s="1"/>
  <c r="R259" i="57"/>
  <c r="S259" i="57" s="1"/>
  <c r="T259" i="57" s="1"/>
  <c r="U259" i="57" s="1"/>
  <c r="V259" i="57" s="1"/>
  <c r="W259" i="57" s="1"/>
  <c r="X259" i="57" s="1"/>
  <c r="Y259" i="57" s="1"/>
  <c r="Z259" i="57" s="1"/>
  <c r="AA259" i="57" s="1"/>
  <c r="P155" i="57"/>
  <c r="P167" i="57" s="1"/>
  <c r="P153" i="57"/>
  <c r="P165" i="57" s="1"/>
  <c r="U120" i="56"/>
  <c r="T141" i="56" s="1"/>
  <c r="P96" i="47" s="1"/>
  <c r="T71" i="55"/>
  <c r="Q36" i="47" s="1"/>
  <c r="T239" i="55"/>
  <c r="Q55" i="47" s="1"/>
  <c r="T162" i="55"/>
  <c r="Q49" i="47" s="1"/>
  <c r="T75" i="55"/>
  <c r="U75" i="55" s="1"/>
  <c r="T79" i="55"/>
  <c r="Q33" i="47" s="1"/>
  <c r="T76" i="55"/>
  <c r="Q39" i="47" s="1"/>
  <c r="T233" i="55"/>
  <c r="Q57" i="47" s="1"/>
  <c r="P22" i="47"/>
  <c r="P37" i="47"/>
  <c r="P21" i="47"/>
  <c r="U117" i="56"/>
  <c r="T138" i="56" s="1"/>
  <c r="P93" i="47" s="1"/>
  <c r="O89" i="56"/>
  <c r="AD113" i="56"/>
  <c r="AC134" i="56" s="1"/>
  <c r="Y89" i="47" s="1"/>
  <c r="J89" i="56"/>
  <c r="Q54" i="47"/>
  <c r="U241" i="55"/>
  <c r="Q45" i="47"/>
  <c r="U161" i="55"/>
  <c r="N51" i="57"/>
  <c r="N110" i="57"/>
  <c r="N111" i="57" s="1"/>
  <c r="P27" i="47"/>
  <c r="T195" i="55"/>
  <c r="Q92" i="56"/>
  <c r="Q76" i="56"/>
  <c r="R43" i="56"/>
  <c r="P132" i="47"/>
  <c r="T253" i="55"/>
  <c r="P30" i="47"/>
  <c r="T203" i="55"/>
  <c r="P17" i="47"/>
  <c r="T141" i="55"/>
  <c r="K129" i="57"/>
  <c r="K253" i="57" s="1"/>
  <c r="P99" i="47"/>
  <c r="U183" i="56"/>
  <c r="AB232" i="57"/>
  <c r="U80" i="56"/>
  <c r="U96" i="56"/>
  <c r="Q155" i="57"/>
  <c r="Q167" i="57" s="1"/>
  <c r="Q153" i="57"/>
  <c r="Q165" i="57" s="1"/>
  <c r="Q152" i="57"/>
  <c r="Q164" i="57" s="1"/>
  <c r="Q53" i="56"/>
  <c r="Q55" i="56"/>
  <c r="Q54" i="56"/>
  <c r="Q57" i="56"/>
  <c r="Q59" i="56"/>
  <c r="Q86" i="56" s="1"/>
  <c r="AD77" i="56" s="1"/>
  <c r="Q51" i="56"/>
  <c r="Q58" i="56"/>
  <c r="Q56" i="56"/>
  <c r="Q52" i="56"/>
  <c r="R60" i="56"/>
  <c r="P38" i="47"/>
  <c r="T78" i="55"/>
  <c r="AB219" i="57"/>
  <c r="AC205" i="57"/>
  <c r="AD205" i="57" s="1"/>
  <c r="AE205" i="57" s="1"/>
  <c r="AF205" i="57" s="1"/>
  <c r="AG205" i="57" s="1"/>
  <c r="AH205" i="57" s="1"/>
  <c r="AI205" i="57" s="1"/>
  <c r="AJ205" i="57" s="1"/>
  <c r="AK205" i="57" s="1"/>
  <c r="AL205" i="57" s="1"/>
  <c r="M191" i="57"/>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T205" i="57"/>
  <c r="U205" i="57" s="1"/>
  <c r="V205" i="57" s="1"/>
  <c r="W205" i="57" s="1"/>
  <c r="X205" i="57" s="1"/>
  <c r="Y205" i="57" s="1"/>
  <c r="Z205" i="57" s="1"/>
  <c r="AA205" i="57" s="1"/>
  <c r="AB205" i="57" s="1"/>
  <c r="Q129" i="47"/>
  <c r="U31" i="55"/>
  <c r="P19" i="47"/>
  <c r="T144" i="55"/>
  <c r="AM235" i="57"/>
  <c r="AN235" i="57" s="1"/>
  <c r="AO235" i="57" s="1"/>
  <c r="AP235" i="57" s="1"/>
  <c r="AQ235" i="57" s="1"/>
  <c r="AR235" i="57" s="1"/>
  <c r="AS235" i="57" s="1"/>
  <c r="AT235" i="57" s="1"/>
  <c r="AU235" i="57" s="1"/>
  <c r="AV235" i="57"/>
  <c r="AW235" i="57" s="1"/>
  <c r="AX235" i="57" s="1"/>
  <c r="AD114" i="56"/>
  <c r="V92" i="56"/>
  <c r="V76" i="56"/>
  <c r="W43" i="56"/>
  <c r="U84" i="56"/>
  <c r="U100" i="56"/>
  <c r="AO207" i="57"/>
  <c r="AP207" i="57" s="1"/>
  <c r="AQ207" i="57" s="1"/>
  <c r="AN207" i="57"/>
  <c r="P13" i="47"/>
  <c r="T140" i="55"/>
  <c r="P28" i="47"/>
  <c r="T200" i="55"/>
  <c r="P14" i="47"/>
  <c r="T138" i="55"/>
  <c r="U98" i="56"/>
  <c r="U82" i="56"/>
  <c r="P78" i="56"/>
  <c r="P94" i="56"/>
  <c r="U113" i="56"/>
  <c r="AB220" i="57"/>
  <c r="AS123" i="56"/>
  <c r="AT123" i="56" s="1"/>
  <c r="AU123" i="56" s="1"/>
  <c r="AV123" i="56" s="1"/>
  <c r="AW123" i="56" s="1"/>
  <c r="AX123" i="56" s="1"/>
  <c r="V155" i="57"/>
  <c r="V167" i="57" s="1"/>
  <c r="V152" i="57"/>
  <c r="V164" i="57" s="1"/>
  <c r="V153" i="57"/>
  <c r="V165" i="57" s="1"/>
  <c r="U36" i="55"/>
  <c r="Q133" i="47"/>
  <c r="P10" i="47"/>
  <c r="T135" i="55"/>
  <c r="U58" i="57"/>
  <c r="U59" i="57" s="1"/>
  <c r="U60" i="57" s="1"/>
  <c r="U162" i="57"/>
  <c r="U161" i="57"/>
  <c r="U163" i="57"/>
  <c r="P15" i="47"/>
  <c r="T134" i="55"/>
  <c r="AD118" i="56"/>
  <c r="T181" i="56"/>
  <c r="O97" i="47"/>
  <c r="L78" i="56"/>
  <c r="L94" i="56"/>
  <c r="M190" i="57"/>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AB218" i="57"/>
  <c r="AC204" i="57"/>
  <c r="U77" i="56"/>
  <c r="U93" i="56"/>
  <c r="AB234" i="57"/>
  <c r="AL260" i="57"/>
  <c r="R88" i="56"/>
  <c r="X88" i="56" s="1"/>
  <c r="L88" i="56"/>
  <c r="L82" i="56"/>
  <c r="L98" i="56"/>
  <c r="AN117" i="56" s="1"/>
  <c r="AO117" i="56" s="1"/>
  <c r="AP117" i="56" s="1"/>
  <c r="AQ117" i="56" s="1"/>
  <c r="AR117" i="56" s="1"/>
  <c r="AM138" i="56" s="1"/>
  <c r="AI93" i="47" s="1"/>
  <c r="V50" i="57"/>
  <c r="V57" i="57"/>
  <c r="P51" i="47"/>
  <c r="T165" i="55"/>
  <c r="U51" i="57"/>
  <c r="U110" i="57"/>
  <c r="U111" i="57" s="1"/>
  <c r="P47" i="47"/>
  <c r="T155" i="55"/>
  <c r="P25" i="47"/>
  <c r="T197" i="55"/>
  <c r="AD116" i="56"/>
  <c r="W153" i="57"/>
  <c r="W165" i="57" s="1"/>
  <c r="W152" i="57"/>
  <c r="W164" i="57" s="1"/>
  <c r="W155" i="57"/>
  <c r="W167" i="57" s="1"/>
  <c r="AC181" i="56"/>
  <c r="P16" i="47"/>
  <c r="T136" i="55"/>
  <c r="P20" i="47"/>
  <c r="T151" i="55"/>
  <c r="T234" i="55"/>
  <c r="P52" i="47"/>
  <c r="P56" i="47"/>
  <c r="T237" i="55"/>
  <c r="P100" i="56"/>
  <c r="P84" i="56"/>
  <c r="U81" i="56"/>
  <c r="U97" i="56"/>
  <c r="M189" i="57"/>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AB217" i="57"/>
  <c r="AC203" i="57"/>
  <c r="P24" i="47"/>
  <c r="T199" i="55"/>
  <c r="P44" i="47"/>
  <c r="T163" i="55"/>
  <c r="P79" i="56"/>
  <c r="P95" i="56"/>
  <c r="AN183" i="56"/>
  <c r="AI99" i="47"/>
  <c r="V120" i="56"/>
  <c r="R131" i="47"/>
  <c r="V32" i="55"/>
  <c r="U27" i="55"/>
  <c r="Q135" i="47"/>
  <c r="L84" i="56"/>
  <c r="L100" i="56"/>
  <c r="AN119" i="56" s="1"/>
  <c r="AO119" i="56" s="1"/>
  <c r="AP119" i="56" s="1"/>
  <c r="AQ119" i="56" s="1"/>
  <c r="AR119" i="56" s="1"/>
  <c r="AM140" i="56" s="1"/>
  <c r="AI95" i="47" s="1"/>
  <c r="Q32" i="47"/>
  <c r="U74" i="55"/>
  <c r="Q22" i="47"/>
  <c r="U196" i="55"/>
  <c r="AE144" i="56"/>
  <c r="AG123" i="56"/>
  <c r="Q21" i="47"/>
  <c r="U194" i="55"/>
  <c r="U122" i="56"/>
  <c r="P18" i="47"/>
  <c r="T139" i="55"/>
  <c r="V37" i="55"/>
  <c r="R134" i="47"/>
  <c r="U99" i="56"/>
  <c r="U83" i="56"/>
  <c r="AB231" i="57"/>
  <c r="P82" i="56"/>
  <c r="P98" i="56"/>
  <c r="Q37" i="47"/>
  <c r="U73" i="55"/>
  <c r="L97" i="56"/>
  <c r="AN116" i="56" s="1"/>
  <c r="AO116" i="56" s="1"/>
  <c r="AP116" i="56" s="1"/>
  <c r="AQ116" i="56" s="1"/>
  <c r="AR116" i="56" s="1"/>
  <c r="AM137" i="56" s="1"/>
  <c r="AI92" i="47" s="1"/>
  <c r="L81" i="56"/>
  <c r="P41" i="47"/>
  <c r="T81" i="55"/>
  <c r="T182" i="56"/>
  <c r="O98" i="47"/>
  <c r="AM205" i="57"/>
  <c r="AN205" i="57" s="1"/>
  <c r="AO205" i="57" s="1"/>
  <c r="AP205" i="57" s="1"/>
  <c r="AQ205" i="57" s="1"/>
  <c r="AL219" i="57"/>
  <c r="Q26" i="47"/>
  <c r="U193" i="55"/>
  <c r="AB233" i="57"/>
  <c r="AC233" i="57" s="1"/>
  <c r="AD233" i="57" s="1"/>
  <c r="AE233" i="57" s="1"/>
  <c r="AF233" i="57" s="1"/>
  <c r="AG233" i="57" s="1"/>
  <c r="AH233" i="57" s="1"/>
  <c r="AI233" i="57" s="1"/>
  <c r="AJ233" i="57" s="1"/>
  <c r="AK233" i="57" s="1"/>
  <c r="V33" i="55"/>
  <c r="R130" i="47"/>
  <c r="S260" i="57"/>
  <c r="T260" i="57" s="1"/>
  <c r="U260" i="57" s="1"/>
  <c r="V260" i="57" s="1"/>
  <c r="W260" i="57" s="1"/>
  <c r="X260" i="57" s="1"/>
  <c r="Y260" i="57" s="1"/>
  <c r="Z260" i="57" s="1"/>
  <c r="AA260" i="57" s="1"/>
  <c r="AB260" i="57"/>
  <c r="AC260" i="57" s="1"/>
  <c r="AD260" i="57" s="1"/>
  <c r="AE260" i="57" s="1"/>
  <c r="AF260" i="57" s="1"/>
  <c r="AG260" i="57" s="1"/>
  <c r="AH260" i="57" s="1"/>
  <c r="AI260" i="57" s="1"/>
  <c r="AJ260" i="57" s="1"/>
  <c r="AK260" i="57" s="1"/>
  <c r="W57" i="57"/>
  <c r="W50" i="57"/>
  <c r="O152" i="57"/>
  <c r="O164" i="57" s="1"/>
  <c r="O155" i="57"/>
  <c r="O167" i="57" s="1"/>
  <c r="O153" i="57"/>
  <c r="O165" i="57" s="1"/>
  <c r="U79" i="56"/>
  <c r="U95" i="56"/>
  <c r="P83" i="56"/>
  <c r="P99" i="56"/>
  <c r="P11" i="47"/>
  <c r="T137" i="55"/>
  <c r="L85" i="56"/>
  <c r="L101" i="56"/>
  <c r="AD115" i="56"/>
  <c r="AC259" i="57"/>
  <c r="AD259" i="57" s="1"/>
  <c r="AE259" i="57" s="1"/>
  <c r="AF259" i="57" s="1"/>
  <c r="AG259" i="57" s="1"/>
  <c r="AH259" i="57" s="1"/>
  <c r="AI259" i="57" s="1"/>
  <c r="AJ259" i="57" s="1"/>
  <c r="AK259" i="57" s="1"/>
  <c r="Q23" i="47"/>
  <c r="U201" i="55"/>
  <c r="AC182" i="56"/>
  <c r="W28" i="55"/>
  <c r="S127" i="47"/>
  <c r="T153" i="57"/>
  <c r="T165" i="57" s="1"/>
  <c r="T152" i="57"/>
  <c r="T164" i="57" s="1"/>
  <c r="T155" i="57"/>
  <c r="T167" i="57" s="1"/>
  <c r="AL233" i="57"/>
  <c r="AM233" i="57" s="1"/>
  <c r="AN233" i="57" s="1"/>
  <c r="AO233" i="57" s="1"/>
  <c r="AP233" i="57" s="1"/>
  <c r="AQ233" i="57" s="1"/>
  <c r="AR233" i="57" s="1"/>
  <c r="AS233" i="57" s="1"/>
  <c r="AT233" i="57" s="1"/>
  <c r="AU233" i="57" s="1"/>
  <c r="AV233" i="57" s="1"/>
  <c r="AW233" i="57" s="1"/>
  <c r="AX233" i="57" s="1"/>
  <c r="L92" i="56"/>
  <c r="AN111" i="56" s="1"/>
  <c r="AO111" i="56" s="1"/>
  <c r="AP111" i="56" s="1"/>
  <c r="AQ111" i="56" s="1"/>
  <c r="AR111" i="56" s="1"/>
  <c r="AM132" i="56" s="1"/>
  <c r="AI87" i="47" s="1"/>
  <c r="L76" i="56"/>
  <c r="U101" i="56"/>
  <c r="U85" i="56"/>
  <c r="U94" i="56"/>
  <c r="U78" i="56"/>
  <c r="P58" i="47"/>
  <c r="T235" i="55"/>
  <c r="P97" i="56"/>
  <c r="P81" i="56"/>
  <c r="AD117" i="56"/>
  <c r="U114" i="56"/>
  <c r="L83" i="56"/>
  <c r="L99" i="56"/>
  <c r="AN118" i="56" s="1"/>
  <c r="AO118" i="56" s="1"/>
  <c r="AP118" i="56" s="1"/>
  <c r="AQ118" i="56" s="1"/>
  <c r="AR118" i="56" s="1"/>
  <c r="P50" i="47"/>
  <c r="T160" i="55"/>
  <c r="P61" i="47"/>
  <c r="T243" i="55"/>
  <c r="AE121" i="56"/>
  <c r="AB221" i="57"/>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AC207" i="57"/>
  <c r="AD207" i="57" s="1"/>
  <c r="AE207" i="57" s="1"/>
  <c r="AF207" i="57" s="1"/>
  <c r="AG207" i="57" s="1"/>
  <c r="AH207" i="57" s="1"/>
  <c r="AI207" i="57" s="1"/>
  <c r="AJ207" i="57" s="1"/>
  <c r="AK207" i="57" s="1"/>
  <c r="AL207" i="57" s="1"/>
  <c r="S221" i="57"/>
  <c r="P29" i="47"/>
  <c r="T198" i="55"/>
  <c r="T236" i="55"/>
  <c r="P53" i="47"/>
  <c r="R128" i="47"/>
  <c r="V34" i="55"/>
  <c r="P48" i="47"/>
  <c r="T157" i="55"/>
  <c r="P85" i="56"/>
  <c r="P101" i="56"/>
  <c r="J165" i="57"/>
  <c r="AL232" i="57" s="1"/>
  <c r="J190" i="57"/>
  <c r="AM204" i="57" s="1"/>
  <c r="P59" i="47"/>
  <c r="T240" i="55"/>
  <c r="L96" i="56"/>
  <c r="AN115" i="56" s="1"/>
  <c r="AO115" i="56" s="1"/>
  <c r="AP115" i="56" s="1"/>
  <c r="AQ115" i="56" s="1"/>
  <c r="AR115" i="56" s="1"/>
  <c r="AM136" i="56" s="1"/>
  <c r="AI91" i="47" s="1"/>
  <c r="L80" i="56"/>
  <c r="U116" i="56"/>
  <c r="Q46" i="56"/>
  <c r="Q47" i="56"/>
  <c r="Q87" i="56" s="1"/>
  <c r="R48" i="56"/>
  <c r="O51" i="57"/>
  <c r="O110" i="57"/>
  <c r="O111" i="57" s="1"/>
  <c r="L46" i="56"/>
  <c r="AN172" i="56" s="1"/>
  <c r="L47" i="56"/>
  <c r="AM181" i="56"/>
  <c r="P31" i="47"/>
  <c r="T72" i="55"/>
  <c r="AE113" i="56"/>
  <c r="N153" i="57"/>
  <c r="N165" i="57" s="1"/>
  <c r="N155" i="57"/>
  <c r="N167" i="57" s="1"/>
  <c r="N152" i="57"/>
  <c r="N164" i="57" s="1"/>
  <c r="AB235" i="57"/>
  <c r="AC235" i="57" s="1"/>
  <c r="AD235" i="57" s="1"/>
  <c r="AE235" i="57" s="1"/>
  <c r="AF235" i="57" s="1"/>
  <c r="AG235" i="57" s="1"/>
  <c r="AH235" i="57" s="1"/>
  <c r="AI235" i="57" s="1"/>
  <c r="AJ235" i="57" s="1"/>
  <c r="AK235" i="57" s="1"/>
  <c r="S235" i="57"/>
  <c r="T235" i="57" s="1"/>
  <c r="U235" i="57" s="1"/>
  <c r="V235" i="57" s="1"/>
  <c r="W235" i="57" s="1"/>
  <c r="X235" i="57" s="1"/>
  <c r="Y235" i="57" s="1"/>
  <c r="Z235" i="57" s="1"/>
  <c r="AA235" i="57" s="1"/>
  <c r="Q57" i="57"/>
  <c r="Q50" i="57"/>
  <c r="V46" i="56"/>
  <c r="V47" i="56"/>
  <c r="V87" i="56" s="1"/>
  <c r="W48" i="56"/>
  <c r="P43" i="47"/>
  <c r="T158" i="55"/>
  <c r="I250" i="57"/>
  <c r="AL257" i="57" s="1"/>
  <c r="J149" i="57"/>
  <c r="J186" i="57" s="1"/>
  <c r="J151" i="57"/>
  <c r="J188" i="57" s="1"/>
  <c r="AC216" i="57" s="1"/>
  <c r="J150" i="57"/>
  <c r="J187" i="57" s="1"/>
  <c r="AD201" i="57" s="1"/>
  <c r="AE201" i="57" s="1"/>
  <c r="AF201" i="57" s="1"/>
  <c r="AG201" i="57" s="1"/>
  <c r="AH201" i="57" s="1"/>
  <c r="AI201" i="57" s="1"/>
  <c r="AJ201" i="57" s="1"/>
  <c r="AK201" i="57" s="1"/>
  <c r="AL201" i="57" s="1"/>
  <c r="I249" i="57"/>
  <c r="I248" i="57"/>
  <c r="AE111" i="56"/>
  <c r="P80" i="56"/>
  <c r="P96" i="56"/>
  <c r="J189" i="57"/>
  <c r="AL217" i="57" s="1"/>
  <c r="J164" i="57"/>
  <c r="AL231" i="57" s="1"/>
  <c r="T132" i="56"/>
  <c r="P87" i="47" s="1"/>
  <c r="V111" i="56"/>
  <c r="Q40" i="47"/>
  <c r="U88" i="55"/>
  <c r="AB76" i="56"/>
  <c r="AB78" i="56" s="1"/>
  <c r="AB80" i="56" s="1"/>
  <c r="L79" i="56"/>
  <c r="L95" i="56"/>
  <c r="AN114" i="56" s="1"/>
  <c r="AO114" i="56" s="1"/>
  <c r="AP114" i="56" s="1"/>
  <c r="AQ114" i="56" s="1"/>
  <c r="AR114" i="56" s="1"/>
  <c r="AM135" i="56" s="1"/>
  <c r="AI90" i="47" s="1"/>
  <c r="P77" i="56"/>
  <c r="P93" i="56"/>
  <c r="I57" i="57"/>
  <c r="O163" i="57"/>
  <c r="O162" i="57"/>
  <c r="O58" i="57"/>
  <c r="O161" i="57"/>
  <c r="K87" i="56"/>
  <c r="K103" i="56"/>
  <c r="AD122" i="56" s="1"/>
  <c r="AC143" i="56" s="1"/>
  <c r="P42" i="47"/>
  <c r="T156" i="55"/>
  <c r="AD181" i="56"/>
  <c r="Y97" i="47"/>
  <c r="P12" i="47"/>
  <c r="T142" i="55"/>
  <c r="T51" i="57"/>
  <c r="T110" i="57"/>
  <c r="T111" i="57" s="1"/>
  <c r="P110" i="57"/>
  <c r="P111" i="57" s="1"/>
  <c r="P51" i="57"/>
  <c r="U144" i="56"/>
  <c r="W123" i="56"/>
  <c r="P34" i="47"/>
  <c r="T77" i="55"/>
  <c r="AN120" i="56"/>
  <c r="AO120" i="56" s="1"/>
  <c r="AP120" i="56" s="1"/>
  <c r="AQ120" i="56" s="1"/>
  <c r="AR120" i="56" s="1"/>
  <c r="AM141" i="56" s="1"/>
  <c r="AI96" i="47" s="1"/>
  <c r="P60" i="47"/>
  <c r="T238" i="55"/>
  <c r="V53" i="56"/>
  <c r="V57" i="56"/>
  <c r="V55" i="56"/>
  <c r="V59" i="56"/>
  <c r="V86" i="56" s="1"/>
  <c r="AI77" i="56" s="1"/>
  <c r="V51" i="56"/>
  <c r="V56" i="56"/>
  <c r="V54" i="56"/>
  <c r="V58" i="56"/>
  <c r="V52" i="56"/>
  <c r="W60" i="56"/>
  <c r="P46" i="47"/>
  <c r="T159" i="55"/>
  <c r="J167" i="57"/>
  <c r="AL234" i="57" s="1"/>
  <c r="J192" i="57"/>
  <c r="L102" i="56"/>
  <c r="AN121" i="56" s="1"/>
  <c r="AO121" i="56" s="1"/>
  <c r="AP121" i="56" s="1"/>
  <c r="AQ121" i="56" s="1"/>
  <c r="AR121" i="56" s="1"/>
  <c r="AM142" i="56" s="1"/>
  <c r="L86" i="56"/>
  <c r="V118" i="56"/>
  <c r="T215" i="57"/>
  <c r="O102" i="47" s="1"/>
  <c r="K93" i="56"/>
  <c r="AD112" i="56" s="1"/>
  <c r="AC133" i="56" s="1"/>
  <c r="Y88" i="47" s="1"/>
  <c r="K77" i="56"/>
  <c r="AN113" i="56"/>
  <c r="AO113" i="56" s="1"/>
  <c r="AP113" i="56" s="1"/>
  <c r="AQ113" i="56" s="1"/>
  <c r="AR113" i="56" s="1"/>
  <c r="AM134" i="56" s="1"/>
  <c r="AI89" i="47" s="1"/>
  <c r="H57" i="57"/>
  <c r="G57" i="57"/>
  <c r="N163" i="57"/>
  <c r="N162" i="57"/>
  <c r="N161" i="57"/>
  <c r="N58" i="57"/>
  <c r="K111" i="57"/>
  <c r="T162" i="57"/>
  <c r="T58" i="57"/>
  <c r="T59" i="57" s="1"/>
  <c r="T60" i="57" s="1"/>
  <c r="T161" i="57"/>
  <c r="T163" i="57"/>
  <c r="J57" i="57"/>
  <c r="P58" i="57"/>
  <c r="P61" i="57" s="1"/>
  <c r="J61" i="57" s="1"/>
  <c r="P161" i="57"/>
  <c r="P162" i="57"/>
  <c r="P163" i="57"/>
  <c r="AO76" i="53"/>
  <c r="AP8" i="53"/>
  <c r="AP77" i="53" s="1"/>
  <c r="AQ67" i="53"/>
  <c r="AQ104" i="53" s="1"/>
  <c r="AQ6" i="53"/>
  <c r="AQ3" i="53"/>
  <c r="AQ10" i="53" s="1"/>
  <c r="AM10" i="53" s="1"/>
  <c r="AN10" i="53" s="1"/>
  <c r="AO10" i="53" s="1"/>
  <c r="AP10" i="53" s="1"/>
  <c r="AQ5" i="53"/>
  <c r="AQ7" i="53"/>
  <c r="AQ12" i="53" a="1"/>
  <c r="AQ12" i="53" s="1"/>
  <c r="AQ11" i="53" s="1"/>
  <c r="AQ22" i="53"/>
  <c r="AQ25" i="53" s="1"/>
  <c r="AR4" i="53"/>
  <c r="AG9" i="47"/>
  <c r="AK24" i="35"/>
  <c r="AH6" i="47"/>
  <c r="AL25" i="35"/>
  <c r="AK26" i="35"/>
  <c r="AG7" i="47"/>
  <c r="AK23" i="35"/>
  <c r="AG8" i="47"/>
  <c r="AK22" i="35"/>
  <c r="AG5" i="47"/>
  <c r="S220" i="57" l="1"/>
  <c r="T220" i="57" s="1"/>
  <c r="O107" i="47" s="1"/>
  <c r="M192" i="57"/>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Q206" i="57"/>
  <c r="R206" i="57" s="1"/>
  <c r="S206" i="57"/>
  <c r="T206" i="57" s="1"/>
  <c r="U206" i="57" s="1"/>
  <c r="V206" i="57" s="1"/>
  <c r="W206" i="57" s="1"/>
  <c r="X206" i="57" s="1"/>
  <c r="Y206" i="57" s="1"/>
  <c r="Z206" i="57" s="1"/>
  <c r="AA206" i="57" s="1"/>
  <c r="AB206" i="57" s="1"/>
  <c r="AP88" i="53"/>
  <c r="AP87" i="53"/>
  <c r="M95" i="47"/>
  <c r="U119" i="56"/>
  <c r="M93" i="47"/>
  <c r="AO172" i="56"/>
  <c r="AP172" i="56" s="1"/>
  <c r="AQ172" i="56" s="1"/>
  <c r="AF50" i="29"/>
  <c r="U121" i="56"/>
  <c r="T142" i="56" s="1"/>
  <c r="M90" i="47"/>
  <c r="U112" i="56"/>
  <c r="T133" i="56" s="1"/>
  <c r="P88" i="47" s="1"/>
  <c r="AD108" i="47"/>
  <c r="AH51" i="29"/>
  <c r="AC86" i="47"/>
  <c r="AG50" i="29"/>
  <c r="AB85" i="47"/>
  <c r="AF49" i="29"/>
  <c r="AC84" i="47"/>
  <c r="AG48" i="29"/>
  <c r="M89" i="47"/>
  <c r="U216" i="57"/>
  <c r="P101" i="47" s="1"/>
  <c r="M91" i="47"/>
  <c r="M88" i="47"/>
  <c r="M92" i="47"/>
  <c r="V115" i="56"/>
  <c r="AM112" i="56"/>
  <c r="AL133" i="56" s="1"/>
  <c r="AM122" i="56"/>
  <c r="AL143" i="56" s="1"/>
  <c r="Q182" i="56"/>
  <c r="M98" i="47"/>
  <c r="N98" i="47"/>
  <c r="R182" i="56"/>
  <c r="AE119" i="56"/>
  <c r="AD140" i="56" s="1"/>
  <c r="Z95" i="47" s="1"/>
  <c r="AN144" i="56"/>
  <c r="V112" i="56"/>
  <c r="V121" i="56"/>
  <c r="U142" i="56" s="1"/>
  <c r="V117" i="56"/>
  <c r="U138" i="56" s="1"/>
  <c r="Q93" i="47" s="1"/>
  <c r="N105" i="47"/>
  <c r="L107" i="47"/>
  <c r="K107" i="47"/>
  <c r="N107" i="47"/>
  <c r="L104" i="47"/>
  <c r="K104" i="47"/>
  <c r="N106" i="47"/>
  <c r="M103" i="47"/>
  <c r="L103" i="47"/>
  <c r="K103" i="47"/>
  <c r="AD206" i="57"/>
  <c r="AE206" i="57" s="1"/>
  <c r="AF206" i="57" s="1"/>
  <c r="AG206" i="57" s="1"/>
  <c r="AH206" i="57" s="1"/>
  <c r="AI206" i="57" s="1"/>
  <c r="AJ206" i="57" s="1"/>
  <c r="AK206" i="57" s="1"/>
  <c r="AL206" i="57" s="1"/>
  <c r="X101" i="47"/>
  <c r="S219" i="57"/>
  <c r="L106" i="47"/>
  <c r="K106" i="47"/>
  <c r="J100" i="47"/>
  <c r="I100" i="47"/>
  <c r="L105" i="47"/>
  <c r="K105" i="47"/>
  <c r="O105" i="47"/>
  <c r="Q217" i="57"/>
  <c r="M104" i="47" s="1"/>
  <c r="AC234" i="57"/>
  <c r="AD234" i="57" s="1"/>
  <c r="AE234" i="57" s="1"/>
  <c r="AF234" i="57" s="1"/>
  <c r="AG234" i="57" s="1"/>
  <c r="AH234" i="57" s="1"/>
  <c r="AI234" i="57" s="1"/>
  <c r="AJ234" i="57" s="1"/>
  <c r="AK234" i="57" s="1"/>
  <c r="AC232" i="57"/>
  <c r="AD232" i="57" s="1"/>
  <c r="AE232" i="57" s="1"/>
  <c r="AF232" i="57" s="1"/>
  <c r="AG232" i="57" s="1"/>
  <c r="AH232" i="57" s="1"/>
  <c r="AI232" i="57" s="1"/>
  <c r="AJ232" i="57" s="1"/>
  <c r="AK232" i="57" s="1"/>
  <c r="AL218" i="57"/>
  <c r="S217" i="57"/>
  <c r="AM200" i="57"/>
  <c r="AL214" i="57"/>
  <c r="AD204" i="57"/>
  <c r="AE204" i="57" s="1"/>
  <c r="AF204" i="57" s="1"/>
  <c r="AG204" i="57" s="1"/>
  <c r="AH204" i="57" s="1"/>
  <c r="AI204" i="57" s="1"/>
  <c r="AJ204" i="57" s="1"/>
  <c r="AK204" i="57" s="1"/>
  <c r="AL204" i="57" s="1"/>
  <c r="AL220" i="57"/>
  <c r="P216" i="57"/>
  <c r="K101" i="47" s="1"/>
  <c r="AC220" i="57"/>
  <c r="P215" i="57"/>
  <c r="K102" i="47" s="1"/>
  <c r="AM206" i="57"/>
  <c r="AD203" i="57"/>
  <c r="AE203" i="57" s="1"/>
  <c r="AF203" i="57" s="1"/>
  <c r="AG203" i="57" s="1"/>
  <c r="AH203" i="57" s="1"/>
  <c r="AI203" i="57" s="1"/>
  <c r="AJ203" i="57" s="1"/>
  <c r="AK203" i="57" s="1"/>
  <c r="AL203" i="57" s="1"/>
  <c r="S214" i="57"/>
  <c r="N100" i="47" s="1"/>
  <c r="AL216" i="57"/>
  <c r="AM202" i="57"/>
  <c r="AC231" i="57"/>
  <c r="AD231" i="57" s="1"/>
  <c r="AE231" i="57" s="1"/>
  <c r="AF231" i="57" s="1"/>
  <c r="AG231" i="57" s="1"/>
  <c r="AH231" i="57" s="1"/>
  <c r="AI231" i="57" s="1"/>
  <c r="AJ231" i="57" s="1"/>
  <c r="AK231" i="57" s="1"/>
  <c r="AM203" i="57"/>
  <c r="AD200" i="57"/>
  <c r="AE200" i="57" s="1"/>
  <c r="AF200" i="57" s="1"/>
  <c r="AG200" i="57" s="1"/>
  <c r="AH200" i="57" s="1"/>
  <c r="AI200" i="57" s="1"/>
  <c r="AJ200" i="57" s="1"/>
  <c r="AK200" i="57" s="1"/>
  <c r="AL200" i="57" s="1"/>
  <c r="AL215" i="57"/>
  <c r="AC215" i="57"/>
  <c r="X102" i="47" s="1"/>
  <c r="AM201" i="57"/>
  <c r="AC214" i="57"/>
  <c r="AD202" i="57"/>
  <c r="AE202" i="57" s="1"/>
  <c r="AF202" i="57" s="1"/>
  <c r="AG202" i="57" s="1"/>
  <c r="AH202" i="57" s="1"/>
  <c r="AI202" i="57" s="1"/>
  <c r="AJ202" i="57" s="1"/>
  <c r="AK202" i="57" s="1"/>
  <c r="AL202" i="57" s="1"/>
  <c r="P214" i="57"/>
  <c r="K100" i="47" s="1"/>
  <c r="AD216" i="57"/>
  <c r="AS117" i="56"/>
  <c r="AT117" i="56" s="1"/>
  <c r="AU117" i="56" s="1"/>
  <c r="AV117" i="56" s="1"/>
  <c r="AW117" i="56" s="1"/>
  <c r="AN138" i="56" s="1"/>
  <c r="AJ93" i="47" s="1"/>
  <c r="AE120" i="56"/>
  <c r="AC217" i="57"/>
  <c r="X104" i="47" s="1"/>
  <c r="T221" i="57"/>
  <c r="AC219" i="57"/>
  <c r="AS113" i="56"/>
  <c r="AT113" i="56" s="1"/>
  <c r="AU113" i="56" s="1"/>
  <c r="AV113" i="56" s="1"/>
  <c r="AW113" i="56" s="1"/>
  <c r="AX113" i="56" s="1"/>
  <c r="AC218" i="57"/>
  <c r="X106" i="47" s="1"/>
  <c r="Q35" i="47"/>
  <c r="U71" i="55"/>
  <c r="R36" i="47" s="1"/>
  <c r="U239" i="55"/>
  <c r="R55" i="47" s="1"/>
  <c r="U162" i="55"/>
  <c r="R49" i="47" s="1"/>
  <c r="U233" i="55"/>
  <c r="R57" i="47" s="1"/>
  <c r="U79" i="55"/>
  <c r="R33" i="47" s="1"/>
  <c r="U76" i="55"/>
  <c r="R39" i="47" s="1"/>
  <c r="AM139" i="56"/>
  <c r="AI94" i="47" s="1"/>
  <c r="AS118" i="56"/>
  <c r="AT118" i="56" s="1"/>
  <c r="AU118" i="56" s="1"/>
  <c r="AV118" i="56" s="1"/>
  <c r="AW118" i="56" s="1"/>
  <c r="AX118" i="56" s="1"/>
  <c r="AS119" i="56"/>
  <c r="AT119" i="56" s="1"/>
  <c r="AU119" i="56" s="1"/>
  <c r="AV119" i="56" s="1"/>
  <c r="AW119" i="56" s="1"/>
  <c r="AN140" i="56" s="1"/>
  <c r="AJ95" i="47" s="1"/>
  <c r="U89" i="56"/>
  <c r="AS114" i="56"/>
  <c r="AT114" i="56" s="1"/>
  <c r="AU114" i="56" s="1"/>
  <c r="AV114" i="56" s="1"/>
  <c r="AW114" i="56" s="1"/>
  <c r="AX114" i="56" s="1"/>
  <c r="K89" i="56"/>
  <c r="AS116" i="56"/>
  <c r="AT116" i="56" s="1"/>
  <c r="AU116" i="56" s="1"/>
  <c r="AV116" i="56" s="1"/>
  <c r="AW116" i="56" s="1"/>
  <c r="AN137" i="56" s="1"/>
  <c r="AJ92" i="47" s="1"/>
  <c r="AC76" i="56"/>
  <c r="AC78" i="56" s="1"/>
  <c r="AC80" i="56" s="1"/>
  <c r="AS115" i="56"/>
  <c r="AT115" i="56" s="1"/>
  <c r="AU115" i="56" s="1"/>
  <c r="AV115" i="56" s="1"/>
  <c r="AW115" i="56" s="1"/>
  <c r="AX115" i="56" s="1"/>
  <c r="U133" i="56"/>
  <c r="Q88" i="47" s="1"/>
  <c r="W112" i="56"/>
  <c r="O169" i="57"/>
  <c r="O172" i="57" s="1"/>
  <c r="AS120" i="56"/>
  <c r="AT120" i="56" s="1"/>
  <c r="AU120" i="56" s="1"/>
  <c r="AV120" i="56" s="1"/>
  <c r="AW120" i="56" s="1"/>
  <c r="AX120" i="56" s="1"/>
  <c r="T219" i="57"/>
  <c r="AD132" i="56"/>
  <c r="Z87" i="47" s="1"/>
  <c r="AF111" i="56"/>
  <c r="Q29" i="47"/>
  <c r="U198" i="55"/>
  <c r="Q24" i="47"/>
  <c r="U199" i="55"/>
  <c r="T135" i="56"/>
  <c r="P90" i="47" s="1"/>
  <c r="V114" i="56"/>
  <c r="X28" i="55"/>
  <c r="T127" i="47"/>
  <c r="AI97" i="47"/>
  <c r="AN181" i="56"/>
  <c r="R37" i="47"/>
  <c r="V73" i="55"/>
  <c r="Q16" i="47"/>
  <c r="U136" i="55"/>
  <c r="U150" i="57"/>
  <c r="U151" i="57"/>
  <c r="U149" i="57"/>
  <c r="Q15" i="47"/>
  <c r="U134" i="55"/>
  <c r="AS111" i="56"/>
  <c r="AT111" i="56" s="1"/>
  <c r="AU111" i="56" s="1"/>
  <c r="AV111" i="56" s="1"/>
  <c r="AW111" i="56" s="1"/>
  <c r="AX111" i="56" s="1"/>
  <c r="R92" i="56"/>
  <c r="R76" i="56"/>
  <c r="H58" i="57"/>
  <c r="G58" i="57"/>
  <c r="N59" i="57"/>
  <c r="V79" i="56"/>
  <c r="V95" i="56"/>
  <c r="AN139" i="56"/>
  <c r="AJ94" i="47" s="1"/>
  <c r="Q43" i="47"/>
  <c r="U158" i="55"/>
  <c r="Q59" i="47"/>
  <c r="U240" i="55"/>
  <c r="S128" i="47"/>
  <c r="W34" i="55"/>
  <c r="AC221" i="57"/>
  <c r="X105" i="47" s="1"/>
  <c r="AC138" i="56"/>
  <c r="Y93" i="47" s="1"/>
  <c r="AE117" i="56"/>
  <c r="R26" i="47"/>
  <c r="V193" i="55"/>
  <c r="V27" i="55"/>
  <c r="R135" i="47"/>
  <c r="T218" i="57"/>
  <c r="O106" i="47" s="1"/>
  <c r="AC257" i="57"/>
  <c r="AD257" i="57" s="1"/>
  <c r="AE257" i="57" s="1"/>
  <c r="AF257" i="57" s="1"/>
  <c r="AG257" i="57" s="1"/>
  <c r="AH257" i="57" s="1"/>
  <c r="AI257" i="57" s="1"/>
  <c r="AJ257" i="57" s="1"/>
  <c r="AK257" i="57" s="1"/>
  <c r="Q96" i="56"/>
  <c r="Q80" i="56"/>
  <c r="W52" i="56"/>
  <c r="W55" i="56"/>
  <c r="W59" i="56"/>
  <c r="W86" i="56" s="1"/>
  <c r="AJ77" i="56" s="1"/>
  <c r="W51" i="56"/>
  <c r="W57" i="56"/>
  <c r="W56" i="56"/>
  <c r="W54" i="56"/>
  <c r="W53" i="56"/>
  <c r="W58" i="56"/>
  <c r="X60" i="56"/>
  <c r="P169" i="57"/>
  <c r="Q12" i="47"/>
  <c r="U142" i="55"/>
  <c r="AO183" i="56"/>
  <c r="AJ99" i="47"/>
  <c r="T143" i="56"/>
  <c r="V122" i="56"/>
  <c r="W32" i="55"/>
  <c r="S131" i="47"/>
  <c r="R57" i="56"/>
  <c r="R55" i="56"/>
  <c r="R59" i="56"/>
  <c r="R86" i="56" s="1"/>
  <c r="AE77" i="56" s="1"/>
  <c r="R51" i="56"/>
  <c r="R53" i="56"/>
  <c r="R52" i="56"/>
  <c r="R56" i="56"/>
  <c r="R54" i="56"/>
  <c r="R58" i="56"/>
  <c r="K250" i="57"/>
  <c r="K149" i="57"/>
  <c r="K186" i="57" s="1"/>
  <c r="K150" i="57"/>
  <c r="K187" i="57" s="1"/>
  <c r="K151" i="57"/>
  <c r="K188" i="57" s="1"/>
  <c r="AN202" i="57" s="1"/>
  <c r="AO202" i="57" s="1"/>
  <c r="AP202" i="57" s="1"/>
  <c r="AQ202" i="57" s="1"/>
  <c r="K248" i="57"/>
  <c r="J248" i="57"/>
  <c r="K249" i="57"/>
  <c r="J249" i="57"/>
  <c r="I58" i="57"/>
  <c r="O59" i="57"/>
  <c r="N169" i="57"/>
  <c r="N175" i="57" s="1"/>
  <c r="V85" i="56"/>
  <c r="V101" i="56"/>
  <c r="Q101" i="47"/>
  <c r="V216" i="57"/>
  <c r="J58" i="57"/>
  <c r="P59" i="57"/>
  <c r="U215" i="57"/>
  <c r="P102" i="47" s="1"/>
  <c r="V97" i="56"/>
  <c r="V81" i="56"/>
  <c r="O61" i="57"/>
  <c r="I61" i="57" s="1"/>
  <c r="R40" i="47"/>
  <c r="V88" i="55"/>
  <c r="W46" i="56"/>
  <c r="W47" i="56"/>
  <c r="W87" i="56" s="1"/>
  <c r="X48" i="56"/>
  <c r="R46" i="56"/>
  <c r="R47" i="56"/>
  <c r="R87" i="56" s="1"/>
  <c r="R23" i="47"/>
  <c r="V201" i="55"/>
  <c r="AY123" i="56"/>
  <c r="AP144" i="56" s="1"/>
  <c r="AM99" i="47" s="1"/>
  <c r="AO144" i="56"/>
  <c r="R21" i="47"/>
  <c r="V194" i="55"/>
  <c r="Q51" i="47"/>
  <c r="U165" i="55"/>
  <c r="Q19" i="47"/>
  <c r="U144" i="55"/>
  <c r="Q95" i="56"/>
  <c r="Q79" i="56"/>
  <c r="K155" i="57"/>
  <c r="K153" i="57"/>
  <c r="K152" i="57"/>
  <c r="J251" i="57"/>
  <c r="K251" i="57"/>
  <c r="K252" i="57"/>
  <c r="J252" i="57"/>
  <c r="Q27" i="47"/>
  <c r="U195" i="55"/>
  <c r="AC135" i="56"/>
  <c r="Y90" i="47" s="1"/>
  <c r="AE114" i="56"/>
  <c r="U139" i="56"/>
  <c r="Q94" i="47" s="1"/>
  <c r="W118" i="56"/>
  <c r="V83" i="56"/>
  <c r="V99" i="56"/>
  <c r="T140" i="56"/>
  <c r="P95" i="47" s="1"/>
  <c r="V119" i="56"/>
  <c r="AD134" i="56"/>
  <c r="Z89" i="47" s="1"/>
  <c r="AF113" i="56"/>
  <c r="W37" i="55"/>
  <c r="S134" i="47"/>
  <c r="U141" i="56"/>
  <c r="Q96" i="47" s="1"/>
  <c r="W120" i="56"/>
  <c r="U169" i="57"/>
  <c r="U172" i="57" s="1"/>
  <c r="Q14" i="47"/>
  <c r="U138" i="55"/>
  <c r="Q83" i="56"/>
  <c r="Q99" i="56"/>
  <c r="O151" i="57"/>
  <c r="O150" i="57"/>
  <c r="O149" i="57"/>
  <c r="J250" i="57"/>
  <c r="T149" i="57"/>
  <c r="T151" i="57"/>
  <c r="T150" i="57"/>
  <c r="I45" i="57"/>
  <c r="I163" i="57"/>
  <c r="I162" i="57"/>
  <c r="I161" i="57"/>
  <c r="J161" i="57"/>
  <c r="J163" i="57"/>
  <c r="J45" i="57"/>
  <c r="J162" i="57"/>
  <c r="N61" i="57"/>
  <c r="V78" i="56"/>
  <c r="V94" i="56"/>
  <c r="U132" i="56"/>
  <c r="Q87" i="47" s="1"/>
  <c r="W111" i="56"/>
  <c r="V77" i="56"/>
  <c r="V93" i="56"/>
  <c r="Q31" i="47"/>
  <c r="U72" i="55"/>
  <c r="Q77" i="56"/>
  <c r="Q93" i="56"/>
  <c r="AF121" i="56"/>
  <c r="AD142" i="56"/>
  <c r="AE112" i="56"/>
  <c r="AF144" i="56"/>
  <c r="AH123" i="56"/>
  <c r="V163" i="57"/>
  <c r="V58" i="57"/>
  <c r="V59" i="57" s="1"/>
  <c r="V60" i="57" s="1"/>
  <c r="V162" i="57"/>
  <c r="V161" i="57"/>
  <c r="V31" i="55"/>
  <c r="R129" i="47"/>
  <c r="Q101" i="56"/>
  <c r="Q85" i="56"/>
  <c r="J253" i="57"/>
  <c r="N151" i="57"/>
  <c r="N150" i="57"/>
  <c r="N149" i="57"/>
  <c r="P151" i="57"/>
  <c r="P149" i="57"/>
  <c r="P150" i="57"/>
  <c r="G45" i="57"/>
  <c r="G161" i="57"/>
  <c r="G163" i="57"/>
  <c r="G162" i="57"/>
  <c r="Q34" i="47"/>
  <c r="U77" i="55"/>
  <c r="P89" i="56"/>
  <c r="V116" i="56"/>
  <c r="T137" i="56"/>
  <c r="P92" i="47" s="1"/>
  <c r="Q61" i="47"/>
  <c r="U243" i="55"/>
  <c r="AC136" i="56"/>
  <c r="Y91" i="47" s="1"/>
  <c r="AE115" i="56"/>
  <c r="W33" i="55"/>
  <c r="S130" i="47"/>
  <c r="AF183" i="56"/>
  <c r="AA99" i="47"/>
  <c r="Q56" i="47"/>
  <c r="U237" i="55"/>
  <c r="V110" i="57"/>
  <c r="V111" i="57" s="1"/>
  <c r="V51" i="57"/>
  <c r="U61" i="57"/>
  <c r="W76" i="56"/>
  <c r="W92" i="56"/>
  <c r="X43" i="56"/>
  <c r="Q94" i="56"/>
  <c r="Q78" i="56"/>
  <c r="Q17" i="47"/>
  <c r="U141" i="55"/>
  <c r="R22" i="47"/>
  <c r="V196" i="55"/>
  <c r="AC137" i="56"/>
  <c r="Y92" i="47" s="1"/>
  <c r="AE116" i="56"/>
  <c r="Q28" i="47"/>
  <c r="U200" i="55"/>
  <c r="R45" i="47"/>
  <c r="V161" i="55"/>
  <c r="Q48" i="47"/>
  <c r="U157" i="55"/>
  <c r="AD182" i="56"/>
  <c r="Y98" i="47"/>
  <c r="T169" i="57"/>
  <c r="T174" i="57" s="1"/>
  <c r="AC255" i="57"/>
  <c r="AD255" i="57" s="1"/>
  <c r="AE255" i="57" s="1"/>
  <c r="AF255" i="57" s="1"/>
  <c r="AG255" i="57" s="1"/>
  <c r="AH255" i="57" s="1"/>
  <c r="AI255" i="57" s="1"/>
  <c r="AJ255" i="57" s="1"/>
  <c r="AK255" i="57" s="1"/>
  <c r="AL255" i="57"/>
  <c r="Q58" i="47"/>
  <c r="U235" i="55"/>
  <c r="Q18" i="47"/>
  <c r="U139" i="55"/>
  <c r="V100" i="56"/>
  <c r="V84" i="56"/>
  <c r="V144" i="56"/>
  <c r="X123" i="56"/>
  <c r="AL256" i="57"/>
  <c r="AC256" i="57"/>
  <c r="AD256" i="57" s="1"/>
  <c r="AE256" i="57" s="1"/>
  <c r="AF256" i="57" s="1"/>
  <c r="AG256" i="57" s="1"/>
  <c r="AH256" i="57" s="1"/>
  <c r="AI256" i="57" s="1"/>
  <c r="AJ256" i="57" s="1"/>
  <c r="AK256" i="57" s="1"/>
  <c r="Q51" i="57"/>
  <c r="Q110" i="57"/>
  <c r="Q111" i="57" s="1"/>
  <c r="Q50" i="47"/>
  <c r="U160" i="55"/>
  <c r="W51" i="57"/>
  <c r="W110" i="57"/>
  <c r="W111" i="57" s="1"/>
  <c r="Q25" i="47"/>
  <c r="U197" i="55"/>
  <c r="Q10" i="47"/>
  <c r="U135" i="55"/>
  <c r="T134" i="56"/>
  <c r="P89" i="47" s="1"/>
  <c r="V113" i="56"/>
  <c r="Q38" i="47"/>
  <c r="U78" i="55"/>
  <c r="Q84" i="56"/>
  <c r="Q100" i="56"/>
  <c r="Q30" i="47"/>
  <c r="U203" i="55"/>
  <c r="U136" i="56"/>
  <c r="Q91" i="47" s="1"/>
  <c r="W115" i="56"/>
  <c r="AC139" i="56"/>
  <c r="Y94" i="47" s="1"/>
  <c r="AE118" i="56"/>
  <c r="V36" i="55"/>
  <c r="R133" i="47"/>
  <c r="H45" i="57"/>
  <c r="H162" i="57"/>
  <c r="H161" i="57"/>
  <c r="H163" i="57"/>
  <c r="V82" i="56"/>
  <c r="V98" i="56"/>
  <c r="V96" i="56"/>
  <c r="V80" i="56"/>
  <c r="V183" i="56"/>
  <c r="Q99" i="47"/>
  <c r="K57" i="57"/>
  <c r="Q161" i="57"/>
  <c r="Q58" i="57"/>
  <c r="Q61" i="57" s="1"/>
  <c r="K61" i="57" s="1"/>
  <c r="Q162" i="57"/>
  <c r="Q163" i="57"/>
  <c r="L87" i="56"/>
  <c r="L103" i="56"/>
  <c r="AN122" i="56" s="1"/>
  <c r="AO122" i="56" s="1"/>
  <c r="AP122" i="56" s="1"/>
  <c r="AQ122" i="56" s="1"/>
  <c r="AR122" i="56" s="1"/>
  <c r="AM143" i="56" s="1"/>
  <c r="AF119" i="56"/>
  <c r="Q11" i="47"/>
  <c r="U137" i="55"/>
  <c r="W58" i="57"/>
  <c r="W59" i="57" s="1"/>
  <c r="W60" i="57" s="1"/>
  <c r="W163" i="57"/>
  <c r="W162" i="57"/>
  <c r="W161" i="57"/>
  <c r="R35" i="47"/>
  <c r="V75" i="55"/>
  <c r="R32" i="47"/>
  <c r="V74" i="55"/>
  <c r="AE122" i="56"/>
  <c r="Q44" i="47"/>
  <c r="U163" i="55"/>
  <c r="U234" i="55"/>
  <c r="Q52" i="47"/>
  <c r="Q13" i="47"/>
  <c r="U140" i="55"/>
  <c r="Q97" i="56"/>
  <c r="Q81" i="56"/>
  <c r="R54" i="47"/>
  <c r="V241" i="55"/>
  <c r="Q42" i="47"/>
  <c r="U156" i="55"/>
  <c r="Q41" i="47"/>
  <c r="U81" i="55"/>
  <c r="T61" i="57"/>
  <c r="Q46" i="47"/>
  <c r="U159" i="55"/>
  <c r="Q60" i="47"/>
  <c r="U238" i="55"/>
  <c r="L77" i="56"/>
  <c r="L93" i="56"/>
  <c r="AN112" i="56" s="1"/>
  <c r="AO112" i="56" s="1"/>
  <c r="AP112" i="56" s="1"/>
  <c r="AQ112" i="56" s="1"/>
  <c r="AR112" i="56" s="1"/>
  <c r="AM133" i="56" s="1"/>
  <c r="AI88" i="47" s="1"/>
  <c r="U236" i="55"/>
  <c r="Q53" i="47"/>
  <c r="AH76" i="56"/>
  <c r="AH78" i="56" s="1"/>
  <c r="AH80" i="56" s="1"/>
  <c r="AF120" i="56"/>
  <c r="AD141" i="56"/>
  <c r="Z96" i="47" s="1"/>
  <c r="AS121" i="56"/>
  <c r="AT121" i="56" s="1"/>
  <c r="AU121" i="56" s="1"/>
  <c r="AV121" i="56" s="1"/>
  <c r="AW121" i="56" s="1"/>
  <c r="AN142" i="56" s="1"/>
  <c r="AM182" i="56"/>
  <c r="Q20" i="47"/>
  <c r="U151" i="55"/>
  <c r="Q47" i="47"/>
  <c r="U155" i="55"/>
  <c r="Q98" i="56"/>
  <c r="Q82" i="56"/>
  <c r="Q132" i="47"/>
  <c r="U253" i="55"/>
  <c r="AP76" i="53"/>
  <c r="AR22" i="53"/>
  <c r="AR25" i="53" s="1"/>
  <c r="AR3" i="53"/>
  <c r="AR67" i="53"/>
  <c r="AR104" i="53" s="1"/>
  <c r="AR12" i="53" a="1"/>
  <c r="AR12" i="53" s="1"/>
  <c r="AR11" i="53" s="1"/>
  <c r="AR7" i="53"/>
  <c r="AR5" i="53"/>
  <c r="AR6" i="53"/>
  <c r="AS4" i="53"/>
  <c r="AQ8" i="53"/>
  <c r="AL22" i="35"/>
  <c r="AH5" i="47"/>
  <c r="AH8" i="47"/>
  <c r="AL23" i="35"/>
  <c r="AI6" i="47"/>
  <c r="AM25" i="35"/>
  <c r="AH9" i="47"/>
  <c r="AL24" i="35"/>
  <c r="AL26" i="35"/>
  <c r="AH7" i="47"/>
  <c r="O175" i="57" l="1"/>
  <c r="AD217" i="57"/>
  <c r="O178" i="57"/>
  <c r="AN200" i="57"/>
  <c r="AO200" i="57" s="1"/>
  <c r="AP200" i="57" s="1"/>
  <c r="AQ200" i="57" s="1"/>
  <c r="AQ76" i="53"/>
  <c r="L89" i="56"/>
  <c r="L90" i="56" s="1"/>
  <c r="U181" i="56"/>
  <c r="P97" i="47"/>
  <c r="AE108" i="47"/>
  <c r="AI51" i="29"/>
  <c r="AD84" i="47"/>
  <c r="AH48" i="29"/>
  <c r="AC85" i="47"/>
  <c r="AG49" i="29"/>
  <c r="AD86" i="47"/>
  <c r="AH50" i="29"/>
  <c r="AX117" i="56"/>
  <c r="AO138" i="56" s="1"/>
  <c r="AK93" i="47" s="1"/>
  <c r="W117" i="56"/>
  <c r="AN134" i="56"/>
  <c r="AJ89" i="47" s="1"/>
  <c r="W121" i="56"/>
  <c r="AN141" i="56"/>
  <c r="AJ96" i="47" s="1"/>
  <c r="AN136" i="56"/>
  <c r="AJ91" i="47" s="1"/>
  <c r="AX116" i="56"/>
  <c r="AX119" i="56"/>
  <c r="AX121" i="56"/>
  <c r="AN132" i="56"/>
  <c r="AJ87" i="47" s="1"/>
  <c r="AN135" i="56"/>
  <c r="AJ90" i="47" s="1"/>
  <c r="O174" i="57"/>
  <c r="O176" i="57"/>
  <c r="O103" i="47"/>
  <c r="X100" i="47"/>
  <c r="N103" i="47"/>
  <c r="Y107" i="47"/>
  <c r="Y101" i="47"/>
  <c r="P103" i="47"/>
  <c r="X107" i="47"/>
  <c r="Y104" i="47"/>
  <c r="AE216" i="57"/>
  <c r="Z101" i="47" s="1"/>
  <c r="N104" i="47"/>
  <c r="X103" i="47"/>
  <c r="U220" i="57"/>
  <c r="P107" i="47" s="1"/>
  <c r="AN201" i="57"/>
  <c r="AO201" i="57" s="1"/>
  <c r="AP201" i="57" s="1"/>
  <c r="AQ201" i="57" s="1"/>
  <c r="AD219" i="57"/>
  <c r="Y103" i="47" s="1"/>
  <c r="T217" i="57"/>
  <c r="O104" i="47" s="1"/>
  <c r="U219" i="57"/>
  <c r="AD220" i="57"/>
  <c r="AE220" i="57" s="1"/>
  <c r="Z107" i="47" s="1"/>
  <c r="J169" i="57"/>
  <c r="J173" i="57" s="1"/>
  <c r="T176" i="57"/>
  <c r="AD215" i="57"/>
  <c r="Y102" i="47" s="1"/>
  <c r="Q215" i="57"/>
  <c r="M102" i="47" s="1"/>
  <c r="Q216" i="57"/>
  <c r="M101" i="47" s="1"/>
  <c r="AD214" i="57"/>
  <c r="Y100" i="47" s="1"/>
  <c r="L100" i="47"/>
  <c r="Q214" i="57"/>
  <c r="M100" i="47" s="1"/>
  <c r="T214" i="57"/>
  <c r="O100" i="47" s="1"/>
  <c r="T175" i="57"/>
  <c r="N173" i="57"/>
  <c r="N176" i="57"/>
  <c r="U173" i="57"/>
  <c r="AM256" i="57"/>
  <c r="AN256" i="57" s="1"/>
  <c r="AO256" i="57" s="1"/>
  <c r="AP256" i="57" s="1"/>
  <c r="AQ256" i="57" s="1"/>
  <c r="AR256" i="57" s="1"/>
  <c r="AS256" i="57" s="1"/>
  <c r="AT256" i="57" s="1"/>
  <c r="AU256" i="57" s="1"/>
  <c r="N174" i="57"/>
  <c r="O177" i="57"/>
  <c r="O173" i="57"/>
  <c r="O181" i="57" s="1"/>
  <c r="O182" i="57" s="1"/>
  <c r="Y106" i="47"/>
  <c r="AD218" i="57"/>
  <c r="O179" i="57"/>
  <c r="X162" i="57"/>
  <c r="U221" i="57"/>
  <c r="P105" i="47" s="1"/>
  <c r="V61" i="57"/>
  <c r="V233" i="55"/>
  <c r="W233" i="55" s="1"/>
  <c r="V71" i="55"/>
  <c r="S36" i="47" s="1"/>
  <c r="V239" i="55"/>
  <c r="W239" i="55" s="1"/>
  <c r="V79" i="55"/>
  <c r="S33" i="47" s="1"/>
  <c r="V162" i="55"/>
  <c r="S49" i="47" s="1"/>
  <c r="V76" i="55"/>
  <c r="W76" i="55" s="1"/>
  <c r="AM255" i="57"/>
  <c r="AN255" i="57" s="1"/>
  <c r="AO255" i="57" s="1"/>
  <c r="AP255" i="57" s="1"/>
  <c r="AQ255" i="57" s="1"/>
  <c r="AR255" i="57" s="1"/>
  <c r="AS255" i="57" s="1"/>
  <c r="AT255" i="57" s="1"/>
  <c r="AU255" i="57" s="1"/>
  <c r="V89" i="56"/>
  <c r="Y162" i="57"/>
  <c r="Q89" i="56"/>
  <c r="V133" i="56"/>
  <c r="R88" i="47" s="1"/>
  <c r="X112" i="56"/>
  <c r="P178" i="57"/>
  <c r="P179" i="57"/>
  <c r="P176" i="57"/>
  <c r="P175" i="57"/>
  <c r="P177" i="57"/>
  <c r="W79" i="56"/>
  <c r="W95" i="56"/>
  <c r="W27" i="55"/>
  <c r="S135" i="47"/>
  <c r="R15" i="47"/>
  <c r="V134" i="55"/>
  <c r="AF115" i="56"/>
  <c r="AD136" i="56"/>
  <c r="Z91" i="47" s="1"/>
  <c r="Q102" i="47"/>
  <c r="V215" i="57"/>
  <c r="N60" i="57"/>
  <c r="H59" i="57"/>
  <c r="G59" i="57"/>
  <c r="AN182" i="56"/>
  <c r="AI98" i="47"/>
  <c r="AB230" i="57"/>
  <c r="AC230" i="57" s="1"/>
  <c r="AD230" i="57" s="1"/>
  <c r="AE230" i="57" s="1"/>
  <c r="AF230" i="57" s="1"/>
  <c r="AG230" i="57" s="1"/>
  <c r="AH230" i="57" s="1"/>
  <c r="AI230" i="57" s="1"/>
  <c r="AJ230" i="57" s="1"/>
  <c r="AK230" i="57" s="1"/>
  <c r="W144" i="56"/>
  <c r="Y123" i="56"/>
  <c r="J179" i="57"/>
  <c r="R28" i="47"/>
  <c r="V200" i="55"/>
  <c r="N230" i="57"/>
  <c r="O230" i="57" s="1"/>
  <c r="P230" i="57" s="1"/>
  <c r="Q230" i="57" s="1"/>
  <c r="R230" i="57"/>
  <c r="S230" i="57" s="1"/>
  <c r="T230" i="57" s="1"/>
  <c r="U230" i="57" s="1"/>
  <c r="V230" i="57" s="1"/>
  <c r="W230" i="57" s="1"/>
  <c r="X230" i="57" s="1"/>
  <c r="Y230" i="57" s="1"/>
  <c r="Z230" i="57" s="1"/>
  <c r="AA230" i="57" s="1"/>
  <c r="AB99" i="47"/>
  <c r="AG183" i="56"/>
  <c r="AL229" i="57"/>
  <c r="V139" i="56"/>
  <c r="R94" i="47" s="1"/>
  <c r="X118" i="56"/>
  <c r="K190" i="57"/>
  <c r="K165" i="57"/>
  <c r="AM232" i="57" s="1"/>
  <c r="AN232" i="57" s="1"/>
  <c r="AO232" i="57" s="1"/>
  <c r="AP232" i="57" s="1"/>
  <c r="AQ232" i="57" s="1"/>
  <c r="AR232" i="57" s="1"/>
  <c r="AS232" i="57" s="1"/>
  <c r="AT232" i="57" s="1"/>
  <c r="AU232" i="57" s="1"/>
  <c r="AV232" i="57" s="1"/>
  <c r="AW232" i="57" s="1"/>
  <c r="AX232" i="57" s="1"/>
  <c r="S26" i="47"/>
  <c r="W193" i="55"/>
  <c r="S37" i="47"/>
  <c r="W73" i="55"/>
  <c r="AY121" i="56"/>
  <c r="AP142" i="56" s="1"/>
  <c r="AM97" i="47" s="1"/>
  <c r="AO142" i="56"/>
  <c r="N229" i="57"/>
  <c r="O229" i="57" s="1"/>
  <c r="P229" i="57" s="1"/>
  <c r="Q229" i="57" s="1"/>
  <c r="R229" i="57"/>
  <c r="S229" i="57" s="1"/>
  <c r="T229" i="57" s="1"/>
  <c r="U229" i="57" s="1"/>
  <c r="V229" i="57" s="1"/>
  <c r="W229" i="57" s="1"/>
  <c r="X229" i="57" s="1"/>
  <c r="Y229" i="57" s="1"/>
  <c r="Z229" i="57" s="1"/>
  <c r="AA229" i="57" s="1"/>
  <c r="AB228" i="57"/>
  <c r="AC228" i="57" s="1"/>
  <c r="AD228" i="57" s="1"/>
  <c r="AE228" i="57" s="1"/>
  <c r="AF228" i="57" s="1"/>
  <c r="AG228" i="57" s="1"/>
  <c r="AH228" i="57" s="1"/>
  <c r="AI228" i="57" s="1"/>
  <c r="AJ228" i="57" s="1"/>
  <c r="AK228" i="57" s="1"/>
  <c r="H169" i="57"/>
  <c r="H172" i="57" s="1"/>
  <c r="W183" i="56"/>
  <c r="R99" i="47"/>
  <c r="R61" i="47"/>
  <c r="V243" i="55"/>
  <c r="N228" i="57"/>
  <c r="O228" i="57" s="1"/>
  <c r="P228" i="57" s="1"/>
  <c r="Q228" i="57" s="1"/>
  <c r="G169" i="57"/>
  <c r="G172" i="57" s="1"/>
  <c r="R228" i="57"/>
  <c r="S228" i="57" s="1"/>
  <c r="T228" i="57" s="1"/>
  <c r="U228" i="57" s="1"/>
  <c r="V228" i="57" s="1"/>
  <c r="W228" i="57" s="1"/>
  <c r="X228" i="57" s="1"/>
  <c r="Y228" i="57" s="1"/>
  <c r="Z228" i="57" s="1"/>
  <c r="AA228" i="57" s="1"/>
  <c r="V132" i="56"/>
  <c r="R87" i="47" s="1"/>
  <c r="X111" i="56"/>
  <c r="AL230" i="57"/>
  <c r="X37" i="55"/>
  <c r="T134" i="47"/>
  <c r="K192" i="57"/>
  <c r="AN206" i="57" s="1"/>
  <c r="AO206" i="57" s="1"/>
  <c r="AP206" i="57" s="1"/>
  <c r="AQ206" i="57" s="1"/>
  <c r="K167" i="57"/>
  <c r="AM234" i="57" s="1"/>
  <c r="AN234" i="57" s="1"/>
  <c r="AO234" i="57" s="1"/>
  <c r="AP234" i="57" s="1"/>
  <c r="AQ234" i="57" s="1"/>
  <c r="AR234" i="57" s="1"/>
  <c r="AS234" i="57" s="1"/>
  <c r="AT234" i="57" s="1"/>
  <c r="AU234" i="57" s="1"/>
  <c r="AV234" i="57" s="1"/>
  <c r="AW234" i="57" s="1"/>
  <c r="AX234" i="57" s="1"/>
  <c r="S21" i="47"/>
  <c r="W194" i="55"/>
  <c r="R77" i="56"/>
  <c r="R93" i="56"/>
  <c r="N177" i="57"/>
  <c r="N179" i="57"/>
  <c r="R101" i="56"/>
  <c r="R85" i="56"/>
  <c r="X32" i="55"/>
  <c r="T131" i="47"/>
  <c r="R43" i="47"/>
  <c r="V158" i="55"/>
  <c r="R29" i="47"/>
  <c r="V198" i="55"/>
  <c r="AJ97" i="47"/>
  <c r="AO181" i="56"/>
  <c r="V234" i="55"/>
  <c r="R52" i="47"/>
  <c r="W61" i="57"/>
  <c r="K58" i="57"/>
  <c r="Q59" i="57"/>
  <c r="AB229" i="57"/>
  <c r="AC229" i="57" s="1"/>
  <c r="AD229" i="57" s="1"/>
  <c r="AE229" i="57" s="1"/>
  <c r="AF229" i="57" s="1"/>
  <c r="AG229" i="57" s="1"/>
  <c r="AH229" i="57" s="1"/>
  <c r="AI229" i="57" s="1"/>
  <c r="AJ229" i="57" s="1"/>
  <c r="AK229" i="57" s="1"/>
  <c r="R38" i="47"/>
  <c r="V78" i="55"/>
  <c r="AF116" i="56"/>
  <c r="AD137" i="56"/>
  <c r="Z92" i="47" s="1"/>
  <c r="W31" i="55"/>
  <c r="S129" i="47"/>
  <c r="AD133" i="56"/>
  <c r="Z88" i="47" s="1"/>
  <c r="AF112" i="56"/>
  <c r="P60" i="57"/>
  <c r="J60" i="57" s="1"/>
  <c r="J59" i="57"/>
  <c r="N172" i="57"/>
  <c r="N181" i="57" s="1"/>
  <c r="N182" i="57" s="1"/>
  <c r="R81" i="56"/>
  <c r="R97" i="56"/>
  <c r="U143" i="56"/>
  <c r="W122" i="56"/>
  <c r="X57" i="56"/>
  <c r="X53" i="56"/>
  <c r="X55" i="56"/>
  <c r="X56" i="56"/>
  <c r="X54" i="56"/>
  <c r="X58" i="56"/>
  <c r="X52" i="56"/>
  <c r="X59" i="56"/>
  <c r="X86" i="56" s="1"/>
  <c r="AK77" i="56" s="1"/>
  <c r="X51" i="56"/>
  <c r="P173" i="57"/>
  <c r="AG144" i="56"/>
  <c r="AI123" i="56"/>
  <c r="AE141" i="56"/>
  <c r="AA96" i="47" s="1"/>
  <c r="AG120" i="56"/>
  <c r="R60" i="47"/>
  <c r="V238" i="55"/>
  <c r="R42" i="47"/>
  <c r="V156" i="55"/>
  <c r="R44" i="47"/>
  <c r="V163" i="55"/>
  <c r="R11" i="47"/>
  <c r="V137" i="55"/>
  <c r="Q169" i="57"/>
  <c r="Q173" i="57" s="1"/>
  <c r="R50" i="47"/>
  <c r="V160" i="55"/>
  <c r="T172" i="57"/>
  <c r="V150" i="57"/>
  <c r="V151" i="57"/>
  <c r="V149" i="57"/>
  <c r="AE181" i="56"/>
  <c r="Z97" i="47"/>
  <c r="AD135" i="56"/>
  <c r="Z90" i="47" s="1"/>
  <c r="AF114" i="56"/>
  <c r="AP183" i="56"/>
  <c r="AK99" i="47"/>
  <c r="X46" i="56"/>
  <c r="X47" i="56"/>
  <c r="X87" i="56" s="1"/>
  <c r="O60" i="57"/>
  <c r="I60" i="57" s="1"/>
  <c r="I59" i="57"/>
  <c r="R99" i="56"/>
  <c r="R83" i="56"/>
  <c r="U182" i="56"/>
  <c r="P98" i="47"/>
  <c r="W101" i="56"/>
  <c r="W85" i="56"/>
  <c r="AL228" i="57"/>
  <c r="I169" i="57"/>
  <c r="I173" i="57" s="1"/>
  <c r="U134" i="56"/>
  <c r="Q89" i="47" s="1"/>
  <c r="W113" i="56"/>
  <c r="R18" i="47"/>
  <c r="V139" i="55"/>
  <c r="T178" i="57"/>
  <c r="T177" i="57"/>
  <c r="T179" i="57"/>
  <c r="S22" i="47"/>
  <c r="W196" i="55"/>
  <c r="R56" i="47"/>
  <c r="V237" i="55"/>
  <c r="AE142" i="56"/>
  <c r="AG121" i="56"/>
  <c r="AI76" i="56"/>
  <c r="AI78" i="56" s="1"/>
  <c r="AI80" i="56" s="1"/>
  <c r="R14" i="47"/>
  <c r="V138" i="55"/>
  <c r="AE134" i="56"/>
  <c r="AA89" i="47" s="1"/>
  <c r="AG113" i="56"/>
  <c r="AQ183" i="56"/>
  <c r="AL99" i="47"/>
  <c r="W216" i="57"/>
  <c r="R101" i="47" s="1"/>
  <c r="R95" i="56"/>
  <c r="R79" i="56"/>
  <c r="W80" i="56"/>
  <c r="W96" i="56"/>
  <c r="AD138" i="56"/>
  <c r="Z93" i="47" s="1"/>
  <c r="AF117" i="56"/>
  <c r="AY118" i="56"/>
  <c r="AP139" i="56" s="1"/>
  <c r="AO139" i="56"/>
  <c r="AK94" i="47" s="1"/>
  <c r="R16" i="47"/>
  <c r="V136" i="55"/>
  <c r="R13" i="47"/>
  <c r="V140" i="55"/>
  <c r="R51" i="47"/>
  <c r="V165" i="55"/>
  <c r="AD143" i="56"/>
  <c r="AF122" i="56"/>
  <c r="K45" i="57"/>
  <c r="K161" i="57"/>
  <c r="K163" i="57"/>
  <c r="AV230" i="57" s="1"/>
  <c r="AW230" i="57" s="1"/>
  <c r="AX230" i="57" s="1"/>
  <c r="K162" i="57"/>
  <c r="W36" i="55"/>
  <c r="S133" i="47"/>
  <c r="U137" i="56"/>
  <c r="Q92" i="47" s="1"/>
  <c r="W116" i="56"/>
  <c r="V169" i="57"/>
  <c r="V172" i="57" s="1"/>
  <c r="R27" i="47"/>
  <c r="V195" i="55"/>
  <c r="R19" i="47"/>
  <c r="V144" i="55"/>
  <c r="S23" i="47"/>
  <c r="W201" i="55"/>
  <c r="W77" i="56"/>
  <c r="W93" i="56"/>
  <c r="AV256" i="57"/>
  <c r="AW256" i="57" s="1"/>
  <c r="AX256" i="57" s="1"/>
  <c r="AY256" i="57" s="1"/>
  <c r="AZ256" i="57" s="1"/>
  <c r="BA256" i="57" s="1"/>
  <c r="BB256" i="57" s="1"/>
  <c r="BC256" i="57" s="1"/>
  <c r="BD256" i="57" s="1"/>
  <c r="R80" i="56"/>
  <c r="R96" i="56"/>
  <c r="W81" i="56"/>
  <c r="W97" i="56"/>
  <c r="V219" i="57"/>
  <c r="Q103" i="47" s="1"/>
  <c r="V138" i="56"/>
  <c r="R93" i="47" s="1"/>
  <c r="X117" i="56"/>
  <c r="Y28" i="55"/>
  <c r="U127" i="47"/>
  <c r="W150" i="57"/>
  <c r="W151" i="57"/>
  <c r="W149" i="57"/>
  <c r="S54" i="47"/>
  <c r="W241" i="55"/>
  <c r="S32" i="47"/>
  <c r="W74" i="55"/>
  <c r="AY113" i="56"/>
  <c r="AP134" i="56" s="1"/>
  <c r="AO134" i="56"/>
  <c r="AK89" i="47" s="1"/>
  <c r="AD139" i="56"/>
  <c r="Z94" i="47" s="1"/>
  <c r="AF118" i="56"/>
  <c r="R10" i="47"/>
  <c r="V135" i="55"/>
  <c r="Q151" i="57"/>
  <c r="Q150" i="57"/>
  <c r="Q149" i="57"/>
  <c r="R58" i="47"/>
  <c r="V235" i="55"/>
  <c r="R17" i="47"/>
  <c r="V141" i="55"/>
  <c r="J176" i="57"/>
  <c r="H61" i="57"/>
  <c r="G61" i="57"/>
  <c r="AM257" i="57"/>
  <c r="AN257" i="57" s="1"/>
  <c r="AO257" i="57" s="1"/>
  <c r="AP257" i="57" s="1"/>
  <c r="AQ257" i="57" s="1"/>
  <c r="AR257" i="57" s="1"/>
  <c r="AS257" i="57" s="1"/>
  <c r="AT257" i="57" s="1"/>
  <c r="AU257" i="57" s="1"/>
  <c r="AV257" i="57"/>
  <c r="AW257" i="57" s="1"/>
  <c r="AX257" i="57" s="1"/>
  <c r="AY257" i="57" s="1"/>
  <c r="AZ257" i="57" s="1"/>
  <c r="BA257" i="57" s="1"/>
  <c r="BB257" i="57" s="1"/>
  <c r="BC257" i="57" s="1"/>
  <c r="BD257" i="57" s="1"/>
  <c r="S40" i="47"/>
  <c r="W88" i="55"/>
  <c r="R78" i="56"/>
  <c r="R94" i="56"/>
  <c r="N178" i="57"/>
  <c r="W99" i="56"/>
  <c r="W83" i="56"/>
  <c r="Y105" i="47"/>
  <c r="AD221" i="57"/>
  <c r="U135" i="56"/>
  <c r="Q90" i="47" s="1"/>
  <c r="W114" i="56"/>
  <c r="AE132" i="56"/>
  <c r="AA87" i="47" s="1"/>
  <c r="AG111" i="56"/>
  <c r="K189" i="57"/>
  <c r="AN203" i="57" s="1"/>
  <c r="AO203" i="57" s="1"/>
  <c r="AP203" i="57" s="1"/>
  <c r="AQ203" i="57" s="1"/>
  <c r="K164" i="57"/>
  <c r="R47" i="47"/>
  <c r="V155" i="55"/>
  <c r="R46" i="47"/>
  <c r="V159" i="55"/>
  <c r="R20" i="47"/>
  <c r="V151" i="55"/>
  <c r="V236" i="55"/>
  <c r="R53" i="47"/>
  <c r="T173" i="57"/>
  <c r="R48" i="47"/>
  <c r="V157" i="55"/>
  <c r="R34" i="47"/>
  <c r="V77" i="55"/>
  <c r="U181" i="57"/>
  <c r="U182" i="57" s="1"/>
  <c r="U183" i="57" s="1"/>
  <c r="AV259" i="57"/>
  <c r="AW259" i="57" s="1"/>
  <c r="AX259" i="57" s="1"/>
  <c r="AY259" i="57" s="1"/>
  <c r="AZ259" i="57" s="1"/>
  <c r="BA259" i="57" s="1"/>
  <c r="BB259" i="57" s="1"/>
  <c r="BC259" i="57" s="1"/>
  <c r="BD259" i="57" s="1"/>
  <c r="AM259" i="57"/>
  <c r="AN259" i="57" s="1"/>
  <c r="AO259" i="57" s="1"/>
  <c r="AP259" i="57" s="1"/>
  <c r="AQ259" i="57" s="1"/>
  <c r="AR259" i="57" s="1"/>
  <c r="AS259" i="57" s="1"/>
  <c r="AT259" i="57" s="1"/>
  <c r="AU259" i="57" s="1"/>
  <c r="AZ255" i="57"/>
  <c r="BA255" i="57" s="1"/>
  <c r="BB255" i="57" s="1"/>
  <c r="BC255" i="57" s="1"/>
  <c r="BD255" i="57" s="1"/>
  <c r="AV255" i="57"/>
  <c r="AW255" i="57" s="1"/>
  <c r="AX255" i="57" s="1"/>
  <c r="AY255" i="57" s="1"/>
  <c r="W100" i="56"/>
  <c r="W84" i="56"/>
  <c r="AO132" i="56"/>
  <c r="AK87" i="47" s="1"/>
  <c r="AY111" i="56"/>
  <c r="AP132" i="56" s="1"/>
  <c r="S35" i="47"/>
  <c r="W75" i="55"/>
  <c r="V136" i="56"/>
  <c r="R91" i="47" s="1"/>
  <c r="X115" i="56"/>
  <c r="R25" i="47"/>
  <c r="V197" i="55"/>
  <c r="AD76" i="56"/>
  <c r="AD78" i="56" s="1"/>
  <c r="AD80" i="56" s="1"/>
  <c r="U176" i="57"/>
  <c r="U179" i="57"/>
  <c r="U177" i="57"/>
  <c r="U178" i="57"/>
  <c r="U175" i="57"/>
  <c r="U140" i="56"/>
  <c r="Q95" i="47" s="1"/>
  <c r="W119" i="56"/>
  <c r="R82" i="56"/>
  <c r="R98" i="56"/>
  <c r="R12" i="47"/>
  <c r="V142" i="55"/>
  <c r="W94" i="56"/>
  <c r="W78" i="56"/>
  <c r="U218" i="57"/>
  <c r="P106" i="47" s="1"/>
  <c r="X34" i="55"/>
  <c r="T128" i="47"/>
  <c r="AY120" i="56"/>
  <c r="AP141" i="56" s="1"/>
  <c r="AO141" i="56"/>
  <c r="AK96" i="47" s="1"/>
  <c r="P174" i="57"/>
  <c r="V142" i="56"/>
  <c r="X121" i="56"/>
  <c r="S45" i="47"/>
  <c r="W161" i="55"/>
  <c r="X33" i="55"/>
  <c r="T130" i="47"/>
  <c r="R31" i="47"/>
  <c r="V72" i="55"/>
  <c r="J174" i="57"/>
  <c r="AY116" i="56"/>
  <c r="AP137" i="56" s="1"/>
  <c r="AO137" i="56"/>
  <c r="AK92" i="47" s="1"/>
  <c r="R84" i="56"/>
  <c r="R100" i="56"/>
  <c r="AY114" i="56"/>
  <c r="AP135" i="56" s="1"/>
  <c r="AO135" i="56"/>
  <c r="AK90" i="47" s="1"/>
  <c r="R24" i="47"/>
  <c r="V199" i="55"/>
  <c r="R132" i="47"/>
  <c r="V253" i="55"/>
  <c r="AE140" i="56"/>
  <c r="AA95" i="47" s="1"/>
  <c r="AG119" i="56"/>
  <c r="AE217" i="57"/>
  <c r="Z104" i="47" s="1"/>
  <c r="R41" i="47"/>
  <c r="V81" i="55"/>
  <c r="V181" i="56"/>
  <c r="Q97" i="47"/>
  <c r="W169" i="57"/>
  <c r="AS122" i="56"/>
  <c r="AT122" i="56" s="1"/>
  <c r="AU122" i="56" s="1"/>
  <c r="AV122" i="56" s="1"/>
  <c r="AW122" i="56" s="1"/>
  <c r="AX122" i="56" s="1"/>
  <c r="R30" i="47"/>
  <c r="V203" i="55"/>
  <c r="U217" i="57"/>
  <c r="X92" i="56"/>
  <c r="X76" i="56"/>
  <c r="AM260" i="57"/>
  <c r="AN260" i="57" s="1"/>
  <c r="AO260" i="57" s="1"/>
  <c r="AP260" i="57" s="1"/>
  <c r="AQ260" i="57" s="1"/>
  <c r="AR260" i="57" s="1"/>
  <c r="AS260" i="57" s="1"/>
  <c r="AT260" i="57" s="1"/>
  <c r="AU260" i="57" s="1"/>
  <c r="AV260" i="57" s="1"/>
  <c r="AW260" i="57" s="1"/>
  <c r="AX260" i="57" s="1"/>
  <c r="AY260" i="57" s="1"/>
  <c r="AZ260" i="57" s="1"/>
  <c r="BA260" i="57" s="1"/>
  <c r="BB260" i="57" s="1"/>
  <c r="BC260" i="57" s="1"/>
  <c r="BD260" i="57" s="1"/>
  <c r="V141" i="56"/>
  <c r="R96" i="47" s="1"/>
  <c r="X120" i="56"/>
  <c r="AV258" i="57"/>
  <c r="AW258" i="57" s="1"/>
  <c r="AX258" i="57" s="1"/>
  <c r="AY258" i="57" s="1"/>
  <c r="AZ258" i="57" s="1"/>
  <c r="BA258" i="57" s="1"/>
  <c r="BB258" i="57" s="1"/>
  <c r="BC258" i="57" s="1"/>
  <c r="BD258" i="57" s="1"/>
  <c r="AM258" i="57"/>
  <c r="AN258" i="57" s="1"/>
  <c r="AO258" i="57" s="1"/>
  <c r="AP258" i="57" s="1"/>
  <c r="AQ258" i="57" s="1"/>
  <c r="AR258" i="57" s="1"/>
  <c r="AS258" i="57" s="1"/>
  <c r="AT258" i="57" s="1"/>
  <c r="AU258" i="57" s="1"/>
  <c r="U174" i="57"/>
  <c r="AY119" i="56"/>
  <c r="AP140" i="56" s="1"/>
  <c r="AO140" i="56"/>
  <c r="AK95" i="47" s="1"/>
  <c r="AS112" i="56"/>
  <c r="AT112" i="56" s="1"/>
  <c r="AU112" i="56" s="1"/>
  <c r="AV112" i="56" s="1"/>
  <c r="AW112" i="56" s="1"/>
  <c r="AN133" i="56" s="1"/>
  <c r="AJ88" i="47" s="1"/>
  <c r="P172" i="57"/>
  <c r="W98" i="56"/>
  <c r="W82" i="56"/>
  <c r="R59" i="47"/>
  <c r="V240" i="55"/>
  <c r="AO136" i="56"/>
  <c r="AK91" i="47" s="1"/>
  <c r="AY115" i="56"/>
  <c r="AP136" i="56" s="1"/>
  <c r="AQ88" i="53"/>
  <c r="AS7" i="53"/>
  <c r="AT4" i="53"/>
  <c r="AS5" i="53"/>
  <c r="AS6" i="53"/>
  <c r="AS12" i="53" a="1"/>
  <c r="AS12" i="53" s="1"/>
  <c r="AS11" i="53" s="1"/>
  <c r="AS67" i="53"/>
  <c r="AS104" i="53" s="1"/>
  <c r="AS3" i="53"/>
  <c r="AS22" i="53"/>
  <c r="AS25" i="53" s="1"/>
  <c r="AQ87" i="53"/>
  <c r="AR8" i="53"/>
  <c r="AQ77" i="53"/>
  <c r="AM24" i="35"/>
  <c r="AI9" i="47"/>
  <c r="AI7" i="47"/>
  <c r="AM26" i="35"/>
  <c r="AN25" i="35"/>
  <c r="AJ6" i="47"/>
  <c r="AM23" i="35"/>
  <c r="AI8" i="47"/>
  <c r="AM22" i="35"/>
  <c r="AI5" i="47"/>
  <c r="J178" i="57" l="1"/>
  <c r="J172" i="57"/>
  <c r="J175" i="57"/>
  <c r="P104" i="47"/>
  <c r="AY117" i="56"/>
  <c r="AP138" i="56" s="1"/>
  <c r="Q107" i="47"/>
  <c r="V220" i="57"/>
  <c r="W220" i="57" s="1"/>
  <c r="AF108" i="47"/>
  <c r="AJ51" i="29"/>
  <c r="AI108" i="47"/>
  <c r="AE86" i="47"/>
  <c r="AI50" i="29"/>
  <c r="AD85" i="47"/>
  <c r="AH49" i="29"/>
  <c r="AE84" i="47"/>
  <c r="AI48" i="29"/>
  <c r="AL91" i="47"/>
  <c r="AM91" i="47"/>
  <c r="AL94" i="47"/>
  <c r="AM94" i="47"/>
  <c r="AL90" i="47"/>
  <c r="AM90" i="47"/>
  <c r="AL89" i="47"/>
  <c r="AM89" i="47"/>
  <c r="AM228" i="57"/>
  <c r="AN228" i="57" s="1"/>
  <c r="AO228" i="57" s="1"/>
  <c r="AP228" i="57" s="1"/>
  <c r="AQ228" i="57" s="1"/>
  <c r="AR228" i="57" s="1"/>
  <c r="AS228" i="57" s="1"/>
  <c r="AT228" i="57" s="1"/>
  <c r="AU228" i="57" s="1"/>
  <c r="AV228" i="57" s="1"/>
  <c r="AW228" i="57" s="1"/>
  <c r="AX228" i="57" s="1"/>
  <c r="AL92" i="47"/>
  <c r="AM92" i="47"/>
  <c r="AL95" i="47"/>
  <c r="AM95" i="47"/>
  <c r="AL96" i="47"/>
  <c r="AM96" i="47"/>
  <c r="AL87" i="47"/>
  <c r="AM87" i="47"/>
  <c r="AL93" i="47"/>
  <c r="AM93" i="47"/>
  <c r="AX112" i="56"/>
  <c r="AY112" i="56" s="1"/>
  <c r="AP133" i="56" s="1"/>
  <c r="AN143" i="56"/>
  <c r="P181" i="57"/>
  <c r="P182" i="57" s="1"/>
  <c r="J177" i="57"/>
  <c r="AF216" i="57"/>
  <c r="AA101" i="47" s="1"/>
  <c r="L101" i="47"/>
  <c r="L102" i="47"/>
  <c r="AO204" i="57"/>
  <c r="AP204" i="57" s="1"/>
  <c r="AQ204" i="57" s="1"/>
  <c r="AN204" i="57"/>
  <c r="AM229" i="57"/>
  <c r="AN229" i="57" s="1"/>
  <c r="AO229" i="57" s="1"/>
  <c r="AP229" i="57" s="1"/>
  <c r="AQ229" i="57" s="1"/>
  <c r="AR229" i="57" s="1"/>
  <c r="AS229" i="57" s="1"/>
  <c r="AT229" i="57" s="1"/>
  <c r="AU229" i="57" s="1"/>
  <c r="AV229" i="57" s="1"/>
  <c r="AW229" i="57" s="1"/>
  <c r="AX229" i="57" s="1"/>
  <c r="AM231" i="57"/>
  <c r="AN231" i="57" s="1"/>
  <c r="AO231" i="57" s="1"/>
  <c r="AP231" i="57" s="1"/>
  <c r="AQ231" i="57" s="1"/>
  <c r="AR231" i="57" s="1"/>
  <c r="AS231" i="57" s="1"/>
  <c r="AT231" i="57" s="1"/>
  <c r="AU231" i="57" s="1"/>
  <c r="AV231" i="57"/>
  <c r="AW231" i="57" s="1"/>
  <c r="AX231" i="57" s="1"/>
  <c r="AM230" i="57"/>
  <c r="AN230" i="57" s="1"/>
  <c r="AO230" i="57" s="1"/>
  <c r="AP230" i="57" s="1"/>
  <c r="AQ230" i="57" s="1"/>
  <c r="AR230" i="57" s="1"/>
  <c r="AS230" i="57" s="1"/>
  <c r="AT230" i="57" s="1"/>
  <c r="AU230" i="57" s="1"/>
  <c r="AE219" i="57"/>
  <c r="AF219" i="57" s="1"/>
  <c r="AE214" i="57"/>
  <c r="Z100" i="47"/>
  <c r="AE215" i="57"/>
  <c r="Z102" i="47"/>
  <c r="U214" i="57"/>
  <c r="P100" i="47" s="1"/>
  <c r="S57" i="47"/>
  <c r="Q105" i="47"/>
  <c r="V221" i="57"/>
  <c r="T181" i="57"/>
  <c r="T182" i="57" s="1"/>
  <c r="T183" i="57" s="1"/>
  <c r="Z106" i="47"/>
  <c r="AE218" i="57"/>
  <c r="H173" i="57"/>
  <c r="H181" i="57" s="1"/>
  <c r="H182" i="57" s="1"/>
  <c r="W71" i="55"/>
  <c r="T36" i="47" s="1"/>
  <c r="W162" i="55"/>
  <c r="T49" i="47" s="1"/>
  <c r="W79" i="55"/>
  <c r="T33" i="47" s="1"/>
  <c r="S55" i="47"/>
  <c r="S39" i="47"/>
  <c r="W89" i="56"/>
  <c r="J181" i="57"/>
  <c r="J182" i="57" s="1"/>
  <c r="W133" i="56"/>
  <c r="S88" i="47" s="1"/>
  <c r="Y112" i="56"/>
  <c r="W176" i="57"/>
  <c r="W179" i="57"/>
  <c r="W177" i="57"/>
  <c r="W175" i="57"/>
  <c r="W178" i="57"/>
  <c r="V140" i="56"/>
  <c r="R95" i="47" s="1"/>
  <c r="X119" i="56"/>
  <c r="S48" i="47"/>
  <c r="W157" i="55"/>
  <c r="S59" i="47"/>
  <c r="W240" i="55"/>
  <c r="W141" i="56"/>
  <c r="S96" i="47" s="1"/>
  <c r="Y120" i="56"/>
  <c r="T35" i="47"/>
  <c r="X75" i="55"/>
  <c r="AE76" i="56"/>
  <c r="AE78" i="56" s="1"/>
  <c r="AE80" i="56" s="1"/>
  <c r="AF220" i="57"/>
  <c r="AA107" i="47" s="1"/>
  <c r="AE182" i="56"/>
  <c r="Z98" i="47"/>
  <c r="S11" i="47"/>
  <c r="W137" i="55"/>
  <c r="AH144" i="56"/>
  <c r="AJ123" i="56"/>
  <c r="X80" i="56"/>
  <c r="X96" i="56"/>
  <c r="X31" i="55"/>
  <c r="T129" i="47"/>
  <c r="AQ181" i="56"/>
  <c r="AL97" i="47"/>
  <c r="S28" i="47"/>
  <c r="W200" i="55"/>
  <c r="W174" i="57"/>
  <c r="S24" i="47"/>
  <c r="W199" i="55"/>
  <c r="S47" i="47"/>
  <c r="W155" i="55"/>
  <c r="AA104" i="47"/>
  <c r="AF217" i="57"/>
  <c r="R107" i="47"/>
  <c r="Y33" i="55"/>
  <c r="U130" i="47"/>
  <c r="AJ76" i="56"/>
  <c r="AJ78" i="56" s="1"/>
  <c r="AJ80" i="56" s="1"/>
  <c r="W173" i="57"/>
  <c r="T39" i="47"/>
  <c r="X76" i="55"/>
  <c r="V173" i="57"/>
  <c r="V181" i="57" s="1"/>
  <c r="V182" i="57" s="1"/>
  <c r="S51" i="47"/>
  <c r="W165" i="55"/>
  <c r="V134" i="56"/>
  <c r="R89" i="47" s="1"/>
  <c r="X113" i="56"/>
  <c r="AH183" i="56"/>
  <c r="AC99" i="47"/>
  <c r="X100" i="56"/>
  <c r="X84" i="56"/>
  <c r="T37" i="47"/>
  <c r="X73" i="55"/>
  <c r="T55" i="47"/>
  <c r="X239" i="55"/>
  <c r="S15" i="47"/>
  <c r="W134" i="55"/>
  <c r="S17" i="47"/>
  <c r="W141" i="55"/>
  <c r="V178" i="57"/>
  <c r="V177" i="57"/>
  <c r="V179" i="57"/>
  <c r="V176" i="57"/>
  <c r="V175" i="57"/>
  <c r="AF142" i="56"/>
  <c r="AH121" i="56"/>
  <c r="S44" i="47"/>
  <c r="W163" i="55"/>
  <c r="V143" i="56"/>
  <c r="X122" i="56"/>
  <c r="AE137" i="56"/>
  <c r="AA92" i="47" s="1"/>
  <c r="AG116" i="56"/>
  <c r="S29" i="47"/>
  <c r="W198" i="55"/>
  <c r="T21" i="47"/>
  <c r="X194" i="55"/>
  <c r="H176" i="57"/>
  <c r="H179" i="57"/>
  <c r="H177" i="57"/>
  <c r="H175" i="57"/>
  <c r="H178" i="57"/>
  <c r="Q104" i="47"/>
  <c r="V217" i="57"/>
  <c r="T45" i="47"/>
  <c r="X161" i="55"/>
  <c r="AF132" i="56"/>
  <c r="AB87" i="47" s="1"/>
  <c r="AH111" i="56"/>
  <c r="AF140" i="56"/>
  <c r="AB95" i="47" s="1"/>
  <c r="AH119" i="56"/>
  <c r="S12" i="47"/>
  <c r="W142" i="55"/>
  <c r="T40" i="47"/>
  <c r="X88" i="55"/>
  <c r="V137" i="56"/>
  <c r="R92" i="47" s="1"/>
  <c r="X116" i="56"/>
  <c r="S13" i="47"/>
  <c r="W140" i="55"/>
  <c r="AF181" i="56"/>
  <c r="AA97" i="47"/>
  <c r="I172" i="57"/>
  <c r="I181" i="57" s="1"/>
  <c r="I182" i="57" s="1"/>
  <c r="V182" i="56"/>
  <c r="Q98" i="47"/>
  <c r="S38" i="47"/>
  <c r="W78" i="55"/>
  <c r="G173" i="57"/>
  <c r="G181" i="57" s="1"/>
  <c r="G182" i="57" s="1"/>
  <c r="G176" i="57"/>
  <c r="G177" i="57"/>
  <c r="G179" i="57"/>
  <c r="G178" i="57"/>
  <c r="G175" i="57"/>
  <c r="T26" i="47"/>
  <c r="X193" i="55"/>
  <c r="S30" i="47"/>
  <c r="W203" i="55"/>
  <c r="W142" i="56"/>
  <c r="Y121" i="56"/>
  <c r="V174" i="57"/>
  <c r="S53" i="47"/>
  <c r="W236" i="55"/>
  <c r="V135" i="56"/>
  <c r="R90" i="47" s="1"/>
  <c r="X114" i="56"/>
  <c r="S58" i="47"/>
  <c r="W235" i="55"/>
  <c r="Z28" i="55"/>
  <c r="V127" i="47"/>
  <c r="S56" i="47"/>
  <c r="W237" i="55"/>
  <c r="I179" i="57"/>
  <c r="I175" i="57"/>
  <c r="I177" i="57"/>
  <c r="I178" i="57"/>
  <c r="I176" i="57"/>
  <c r="S42" i="47"/>
  <c r="W156" i="55"/>
  <c r="S43" i="47"/>
  <c r="W158" i="55"/>
  <c r="K169" i="57"/>
  <c r="K178" i="57" s="1"/>
  <c r="T135" i="47"/>
  <c r="X27" i="55"/>
  <c r="W181" i="56"/>
  <c r="R97" i="47"/>
  <c r="T57" i="47"/>
  <c r="X233" i="55"/>
  <c r="S20" i="47"/>
  <c r="W151" i="55"/>
  <c r="T32" i="47"/>
  <c r="X74" i="55"/>
  <c r="W138" i="56"/>
  <c r="S93" i="47" s="1"/>
  <c r="Y117" i="56"/>
  <c r="T23" i="47"/>
  <c r="X201" i="55"/>
  <c r="S101" i="47"/>
  <c r="X216" i="57"/>
  <c r="X77" i="56"/>
  <c r="X93" i="56"/>
  <c r="X94" i="56"/>
  <c r="X78" i="56"/>
  <c r="S61" i="47"/>
  <c r="W243" i="55"/>
  <c r="X144" i="56"/>
  <c r="Z123" i="56"/>
  <c r="H60" i="57"/>
  <c r="G60" i="57"/>
  <c r="AE221" i="57"/>
  <c r="Z105" i="47" s="1"/>
  <c r="X36" i="55"/>
  <c r="T133" i="47"/>
  <c r="T22" i="47"/>
  <c r="X196" i="55"/>
  <c r="S60" i="47"/>
  <c r="W238" i="55"/>
  <c r="X183" i="56"/>
  <c r="S99" i="47"/>
  <c r="R102" i="47"/>
  <c r="W215" i="57"/>
  <c r="W172" i="57"/>
  <c r="S132" i="47"/>
  <c r="W253" i="55"/>
  <c r="S34" i="47"/>
  <c r="W77" i="55"/>
  <c r="S46" i="47"/>
  <c r="W159" i="55"/>
  <c r="T54" i="47"/>
  <c r="X241" i="55"/>
  <c r="W219" i="57"/>
  <c r="R103" i="47" s="1"/>
  <c r="S19" i="47"/>
  <c r="W144" i="55"/>
  <c r="S16" i="47"/>
  <c r="W136" i="55"/>
  <c r="R89" i="56"/>
  <c r="X95" i="56"/>
  <c r="X79" i="56"/>
  <c r="Q60" i="57"/>
  <c r="K60" i="57" s="1"/>
  <c r="K59" i="57"/>
  <c r="Y32" i="55"/>
  <c r="U131" i="47"/>
  <c r="Y37" i="55"/>
  <c r="U134" i="47"/>
  <c r="H174" i="57"/>
  <c r="S25" i="47"/>
  <c r="W197" i="55"/>
  <c r="W136" i="56"/>
  <c r="S91" i="47" s="1"/>
  <c r="Y115" i="56"/>
  <c r="AE135" i="56"/>
  <c r="AA90" i="47" s="1"/>
  <c r="AG114" i="56"/>
  <c r="S50" i="47"/>
  <c r="W160" i="55"/>
  <c r="AF141" i="56"/>
  <c r="AB96" i="47" s="1"/>
  <c r="AH120" i="56"/>
  <c r="X85" i="56"/>
  <c r="X101" i="56"/>
  <c r="I174" i="57"/>
  <c r="G174" i="57"/>
  <c r="S10" i="47"/>
  <c r="W135" i="55"/>
  <c r="S27" i="47"/>
  <c r="W195" i="55"/>
  <c r="AF134" i="56"/>
  <c r="AB89" i="47" s="1"/>
  <c r="AH113" i="56"/>
  <c r="X97" i="56"/>
  <c r="X81" i="56"/>
  <c r="AE133" i="56"/>
  <c r="AA88" i="47" s="1"/>
  <c r="AG112" i="56"/>
  <c r="AO182" i="56"/>
  <c r="AJ98" i="47"/>
  <c r="AE136" i="56"/>
  <c r="AA91" i="47" s="1"/>
  <c r="AG115" i="56"/>
  <c r="S31" i="47"/>
  <c r="W72" i="55"/>
  <c r="Y34" i="55"/>
  <c r="U128" i="47"/>
  <c r="Q176" i="57"/>
  <c r="Q177" i="57"/>
  <c r="Q179" i="57"/>
  <c r="Q175" i="57"/>
  <c r="Q178" i="57"/>
  <c r="X83" i="56"/>
  <c r="X99" i="56"/>
  <c r="AY122" i="56"/>
  <c r="AP143" i="56" s="1"/>
  <c r="AM98" i="47" s="1"/>
  <c r="AO143" i="56"/>
  <c r="S41" i="47"/>
  <c r="W81" i="55"/>
  <c r="Q106" i="47"/>
  <c r="V218" i="57"/>
  <c r="AE139" i="56"/>
  <c r="AA94" i="47" s="1"/>
  <c r="AG118" i="56"/>
  <c r="AE143" i="56"/>
  <c r="AG122" i="56"/>
  <c r="AE138" i="56"/>
  <c r="AA93" i="47" s="1"/>
  <c r="AG117" i="56"/>
  <c r="S14" i="47"/>
  <c r="W138" i="55"/>
  <c r="S18" i="47"/>
  <c r="W139" i="55"/>
  <c r="Q172" i="57"/>
  <c r="Q181" i="57" s="1"/>
  <c r="Q182" i="57" s="1"/>
  <c r="X98" i="56"/>
  <c r="X82" i="56"/>
  <c r="S52" i="47"/>
  <c r="W234" i="55"/>
  <c r="W132" i="56"/>
  <c r="S87" i="47" s="1"/>
  <c r="Y111" i="56"/>
  <c r="AK97" i="47"/>
  <c r="AP181" i="56"/>
  <c r="W139" i="56"/>
  <c r="S94" i="47" s="1"/>
  <c r="Y118" i="56"/>
  <c r="Q174" i="57"/>
  <c r="AR77" i="53"/>
  <c r="AR88" i="53"/>
  <c r="AR76" i="53"/>
  <c r="AT3" i="53"/>
  <c r="AT6" i="53"/>
  <c r="AT12" i="53" a="1"/>
  <c r="AT12" i="53" s="1"/>
  <c r="AT11" i="53" s="1"/>
  <c r="AT22" i="53"/>
  <c r="AT25" i="53" s="1"/>
  <c r="AT5" i="53"/>
  <c r="AT7" i="53"/>
  <c r="AT67" i="53"/>
  <c r="AT104" i="53" s="1"/>
  <c r="AU4" i="53"/>
  <c r="AR87" i="53"/>
  <c r="AS8" i="53"/>
  <c r="AN26" i="35"/>
  <c r="AJ7" i="47"/>
  <c r="AJ5" i="47"/>
  <c r="AN22" i="35"/>
  <c r="AN24" i="35"/>
  <c r="AJ9" i="47"/>
  <c r="AO25" i="35"/>
  <c r="AK6" i="47"/>
  <c r="AN23" i="35"/>
  <c r="AJ8" i="47"/>
  <c r="AG108" i="47" l="1"/>
  <c r="AK51" i="29"/>
  <c r="AH108" i="47" s="1"/>
  <c r="AF84" i="47"/>
  <c r="AJ48" i="29"/>
  <c r="AE85" i="47"/>
  <c r="AI49" i="29"/>
  <c r="AF86" i="47"/>
  <c r="AJ50" i="29"/>
  <c r="AG216" i="57"/>
  <c r="AB101" i="47"/>
  <c r="AM88" i="47"/>
  <c r="AO133" i="56"/>
  <c r="AK88" i="47" s="1"/>
  <c r="AA103" i="47"/>
  <c r="Z103" i="47"/>
  <c r="K175" i="57"/>
  <c r="V214" i="57"/>
  <c r="Q100" i="47" s="1"/>
  <c r="AF215" i="57"/>
  <c r="AA102" i="47"/>
  <c r="AF214" i="57"/>
  <c r="AA100" i="47" s="1"/>
  <c r="X89" i="56"/>
  <c r="K172" i="57"/>
  <c r="K176" i="57"/>
  <c r="K174" i="57"/>
  <c r="AF218" i="57"/>
  <c r="AA106" i="47" s="1"/>
  <c r="W221" i="57"/>
  <c r="R105" i="47"/>
  <c r="X79" i="55"/>
  <c r="Y79" i="55" s="1"/>
  <c r="X71" i="55"/>
  <c r="U36" i="47" s="1"/>
  <c r="X162" i="55"/>
  <c r="U49" i="47" s="1"/>
  <c r="X133" i="56"/>
  <c r="T88" i="47" s="1"/>
  <c r="Z112" i="56"/>
  <c r="W218" i="57"/>
  <c r="R106" i="47" s="1"/>
  <c r="X136" i="56"/>
  <c r="T91" i="47" s="1"/>
  <c r="Z115" i="56"/>
  <c r="Z32" i="55"/>
  <c r="V131" i="47"/>
  <c r="Y144" i="56"/>
  <c r="AA123" i="56"/>
  <c r="U23" i="47"/>
  <c r="Y201" i="55"/>
  <c r="T11" i="47"/>
  <c r="X137" i="55"/>
  <c r="T17" i="47"/>
  <c r="X141" i="55"/>
  <c r="T41" i="47"/>
  <c r="X81" i="55"/>
  <c r="U54" i="47"/>
  <c r="Y241" i="55"/>
  <c r="Y183" i="56"/>
  <c r="T99" i="47"/>
  <c r="T53" i="47"/>
  <c r="X236" i="55"/>
  <c r="T13" i="47"/>
  <c r="X140" i="55"/>
  <c r="AG132" i="56"/>
  <c r="AC87" i="47" s="1"/>
  <c r="AI111" i="56"/>
  <c r="T48" i="47"/>
  <c r="X157" i="55"/>
  <c r="AG140" i="56"/>
  <c r="AC95" i="47" s="1"/>
  <c r="AI119" i="56"/>
  <c r="T25" i="47"/>
  <c r="X197" i="55"/>
  <c r="T60" i="47"/>
  <c r="X238" i="55"/>
  <c r="T61" i="47"/>
  <c r="X243" i="55"/>
  <c r="X138" i="56"/>
  <c r="T93" i="47" s="1"/>
  <c r="Z117" i="56"/>
  <c r="U21" i="47"/>
  <c r="Y194" i="55"/>
  <c r="AG142" i="56"/>
  <c r="AI121" i="56"/>
  <c r="Z33" i="55"/>
  <c r="V130" i="47"/>
  <c r="T28" i="47"/>
  <c r="X200" i="55"/>
  <c r="X132" i="56"/>
  <c r="T87" i="47" s="1"/>
  <c r="Z111" i="56"/>
  <c r="T46" i="47"/>
  <c r="X159" i="55"/>
  <c r="W137" i="56"/>
  <c r="S92" i="47" s="1"/>
  <c r="Y116" i="56"/>
  <c r="AB97" i="47"/>
  <c r="AG181" i="56"/>
  <c r="T15" i="47"/>
  <c r="X134" i="55"/>
  <c r="X220" i="57"/>
  <c r="S107" i="47" s="1"/>
  <c r="W140" i="56"/>
  <c r="S95" i="47" s="1"/>
  <c r="Y119" i="56"/>
  <c r="AF138" i="56"/>
  <c r="AB93" i="47" s="1"/>
  <c r="AH117" i="56"/>
  <c r="AP182" i="56"/>
  <c r="AK98" i="47"/>
  <c r="U22" i="47"/>
  <c r="Y196" i="55"/>
  <c r="AK76" i="56"/>
  <c r="AK78" i="56" s="1"/>
  <c r="AK80" i="56" s="1"/>
  <c r="U32" i="47"/>
  <c r="Y74" i="55"/>
  <c r="Y27" i="55"/>
  <c r="U135" i="47"/>
  <c r="X142" i="56"/>
  <c r="Z121" i="56"/>
  <c r="T38" i="47"/>
  <c r="X78" i="55"/>
  <c r="T29" i="47"/>
  <c r="X198" i="55"/>
  <c r="W134" i="56"/>
  <c r="S89" i="47" s="1"/>
  <c r="Y113" i="56"/>
  <c r="AG220" i="57"/>
  <c r="AB107" i="47" s="1"/>
  <c r="X219" i="57"/>
  <c r="S103" i="47" s="1"/>
  <c r="T24" i="47"/>
  <c r="X199" i="55"/>
  <c r="T52" i="47"/>
  <c r="X234" i="55"/>
  <c r="T34" i="47"/>
  <c r="X77" i="55"/>
  <c r="T56" i="47"/>
  <c r="X237" i="55"/>
  <c r="S97" i="47"/>
  <c r="X181" i="56"/>
  <c r="AH216" i="57"/>
  <c r="AC101" i="47" s="1"/>
  <c r="U45" i="47"/>
  <c r="Y161" i="55"/>
  <c r="AB103" i="47"/>
  <c r="AG219" i="57"/>
  <c r="AG217" i="57"/>
  <c r="AB104" i="47" s="1"/>
  <c r="AQ182" i="56"/>
  <c r="AL98" i="47"/>
  <c r="AF143" i="56"/>
  <c r="AH122" i="56"/>
  <c r="V128" i="47"/>
  <c r="Z34" i="55"/>
  <c r="AG134" i="56"/>
  <c r="AC89" i="47" s="1"/>
  <c r="AI113" i="56"/>
  <c r="T16" i="47"/>
  <c r="X136" i="55"/>
  <c r="T30" i="47"/>
  <c r="X203" i="55"/>
  <c r="AF137" i="56"/>
  <c r="AB92" i="47" s="1"/>
  <c r="AH116" i="56"/>
  <c r="T51" i="47"/>
  <c r="X165" i="55"/>
  <c r="W135" i="56"/>
  <c r="S90" i="47" s="1"/>
  <c r="Y114" i="56"/>
  <c r="T59" i="47"/>
  <c r="X240" i="55"/>
  <c r="AF182" i="56"/>
  <c r="AA98" i="47"/>
  <c r="T31" i="47"/>
  <c r="X72" i="55"/>
  <c r="T50" i="47"/>
  <c r="X160" i="55"/>
  <c r="T132" i="47"/>
  <c r="X253" i="55"/>
  <c r="Y36" i="55"/>
  <c r="U133" i="47"/>
  <c r="K179" i="57"/>
  <c r="K177" i="57"/>
  <c r="U40" i="47"/>
  <c r="Y88" i="55"/>
  <c r="W217" i="57"/>
  <c r="R104" i="47" s="1"/>
  <c r="U55" i="47"/>
  <c r="Y239" i="55"/>
  <c r="Y31" i="55"/>
  <c r="U129" i="47"/>
  <c r="U35" i="47"/>
  <c r="Y75" i="55"/>
  <c r="T14" i="47"/>
  <c r="X138" i="55"/>
  <c r="AG141" i="56"/>
  <c r="AC96" i="47" s="1"/>
  <c r="AI120" i="56"/>
  <c r="AF139" i="56"/>
  <c r="AB94" i="47" s="1"/>
  <c r="AH118" i="56"/>
  <c r="K173" i="57"/>
  <c r="Y216" i="57"/>
  <c r="T101" i="47" s="1"/>
  <c r="T20" i="47"/>
  <c r="X151" i="55"/>
  <c r="T43" i="47"/>
  <c r="X158" i="55"/>
  <c r="AA28" i="55"/>
  <c r="W127" i="47"/>
  <c r="U26" i="47"/>
  <c r="Y193" i="55"/>
  <c r="W143" i="56"/>
  <c r="Y122" i="56"/>
  <c r="T10" i="47"/>
  <c r="X135" i="55"/>
  <c r="AF133" i="56"/>
  <c r="AB88" i="47" s="1"/>
  <c r="AH112" i="56"/>
  <c r="X139" i="56"/>
  <c r="T94" i="47" s="1"/>
  <c r="Z118" i="56"/>
  <c r="AF136" i="56"/>
  <c r="AB91" i="47" s="1"/>
  <c r="AH115" i="56"/>
  <c r="T27" i="47"/>
  <c r="X195" i="55"/>
  <c r="AF135" i="56"/>
  <c r="AB90" i="47" s="1"/>
  <c r="AH114" i="56"/>
  <c r="T19" i="47"/>
  <c r="X144" i="55"/>
  <c r="W181" i="57"/>
  <c r="W182" i="57" s="1"/>
  <c r="AF221" i="57"/>
  <c r="AA105" i="47" s="1"/>
  <c r="T58" i="47"/>
  <c r="X235" i="55"/>
  <c r="T12" i="47"/>
  <c r="X142" i="55"/>
  <c r="W182" i="56"/>
  <c r="R98" i="47"/>
  <c r="U37" i="47"/>
  <c r="Y73" i="55"/>
  <c r="U39" i="47"/>
  <c r="Y76" i="55"/>
  <c r="T47" i="47"/>
  <c r="X155" i="55"/>
  <c r="X141" i="56"/>
  <c r="T96" i="47" s="1"/>
  <c r="Z120" i="56"/>
  <c r="AI183" i="56"/>
  <c r="AD99" i="47"/>
  <c r="T18" i="47"/>
  <c r="X139" i="55"/>
  <c r="V134" i="47"/>
  <c r="Z37" i="55"/>
  <c r="X215" i="57"/>
  <c r="S102" i="47" s="1"/>
  <c r="U57" i="47"/>
  <c r="Y233" i="55"/>
  <c r="T42" i="47"/>
  <c r="X156" i="55"/>
  <c r="T44" i="47"/>
  <c r="X163" i="55"/>
  <c r="AI144" i="56"/>
  <c r="AK123" i="56"/>
  <c r="AT8" i="53"/>
  <c r="AS77" i="53"/>
  <c r="AS76" i="53"/>
  <c r="AT76" i="53" s="1"/>
  <c r="AS87" i="53"/>
  <c r="AU3" i="53"/>
  <c r="AV4" i="53"/>
  <c r="AU5" i="53"/>
  <c r="AU67" i="53"/>
  <c r="AU104" i="53" s="1"/>
  <c r="AU6" i="53"/>
  <c r="AU12" i="53" a="1"/>
  <c r="AU12" i="53" s="1"/>
  <c r="AU11" i="53" s="1"/>
  <c r="AU7" i="53"/>
  <c r="AU22" i="53"/>
  <c r="AU25" i="53" s="1"/>
  <c r="AS88" i="53"/>
  <c r="AT88" i="53" s="1"/>
  <c r="AO23" i="35"/>
  <c r="AK8" i="47"/>
  <c r="AP25" i="35"/>
  <c r="AM6" i="47" s="1"/>
  <c r="AL6" i="47"/>
  <c r="AK5" i="47"/>
  <c r="AO22" i="35"/>
  <c r="AK9" i="47"/>
  <c r="AO24" i="35"/>
  <c r="AO26" i="35"/>
  <c r="AK7" i="47"/>
  <c r="AT87" i="53" l="1"/>
  <c r="AT77" i="53"/>
  <c r="AG86" i="47"/>
  <c r="AK50" i="29"/>
  <c r="AH86" i="47" s="1"/>
  <c r="AF85" i="47"/>
  <c r="AJ49" i="29"/>
  <c r="AK48" i="29"/>
  <c r="AH84" i="47" s="1"/>
  <c r="AG84" i="47"/>
  <c r="AL88" i="47"/>
  <c r="K181" i="57"/>
  <c r="K182" i="57" s="1"/>
  <c r="AG214" i="57"/>
  <c r="AB100" i="47" s="1"/>
  <c r="AG215" i="57"/>
  <c r="AB102" i="47"/>
  <c r="W214" i="57"/>
  <c r="R100" i="47" s="1"/>
  <c r="X221" i="57"/>
  <c r="S105" i="47"/>
  <c r="AG218" i="57"/>
  <c r="AB106" i="47" s="1"/>
  <c r="U33" i="47"/>
  <c r="Y71" i="55"/>
  <c r="Z71" i="55" s="1"/>
  <c r="Y162" i="55"/>
  <c r="Z162" i="55" s="1"/>
  <c r="Y133" i="56"/>
  <c r="U88" i="47" s="1"/>
  <c r="AA112" i="56"/>
  <c r="AJ183" i="56"/>
  <c r="AE99" i="47"/>
  <c r="AH142" i="56"/>
  <c r="AJ121" i="56"/>
  <c r="X143" i="56"/>
  <c r="Z122" i="56"/>
  <c r="U59" i="47"/>
  <c r="Y240" i="55"/>
  <c r="U52" i="47"/>
  <c r="Y234" i="55"/>
  <c r="X182" i="56"/>
  <c r="S98" i="47"/>
  <c r="Z36" i="55"/>
  <c r="V133" i="47"/>
  <c r="AG138" i="56"/>
  <c r="AC93" i="47" s="1"/>
  <c r="AI117" i="56"/>
  <c r="U46" i="47"/>
  <c r="Y159" i="55"/>
  <c r="V21" i="47"/>
  <c r="Z194" i="55"/>
  <c r="AH140" i="56"/>
  <c r="AD95" i="47" s="1"/>
  <c r="AJ119" i="56"/>
  <c r="V54" i="47"/>
  <c r="Z241" i="55"/>
  <c r="V23" i="47"/>
  <c r="Z201" i="55"/>
  <c r="U44" i="47"/>
  <c r="Y163" i="55"/>
  <c r="U18" i="47"/>
  <c r="Y139" i="55"/>
  <c r="U27" i="47"/>
  <c r="Y195" i="55"/>
  <c r="U132" i="47"/>
  <c r="Y253" i="55"/>
  <c r="X135" i="56"/>
  <c r="T90" i="47" s="1"/>
  <c r="Z114" i="56"/>
  <c r="AH134" i="56"/>
  <c r="AD89" i="47" s="1"/>
  <c r="AJ113" i="56"/>
  <c r="V45" i="47"/>
  <c r="Z161" i="55"/>
  <c r="U24" i="47"/>
  <c r="Y199" i="55"/>
  <c r="Y142" i="56"/>
  <c r="AA121" i="56"/>
  <c r="AA37" i="55"/>
  <c r="W134" i="47"/>
  <c r="X137" i="56"/>
  <c r="T92" i="47" s="1"/>
  <c r="Z116" i="56"/>
  <c r="AH219" i="57"/>
  <c r="AC103" i="47" s="1"/>
  <c r="U42" i="47"/>
  <c r="Y156" i="55"/>
  <c r="U12" i="47"/>
  <c r="Y142" i="55"/>
  <c r="V129" i="47"/>
  <c r="Z31" i="55"/>
  <c r="T97" i="47"/>
  <c r="Y181" i="56"/>
  <c r="X140" i="56"/>
  <c r="T95" i="47" s="1"/>
  <c r="Z119" i="56"/>
  <c r="U48" i="47"/>
  <c r="Y157" i="55"/>
  <c r="U41" i="47"/>
  <c r="Y81" i="55"/>
  <c r="Z144" i="56"/>
  <c r="AB123" i="56"/>
  <c r="AA144" i="56" s="1"/>
  <c r="X99" i="47" s="1"/>
  <c r="V55" i="47"/>
  <c r="Z239" i="55"/>
  <c r="V33" i="47"/>
  <c r="Z79" i="55"/>
  <c r="U51" i="47"/>
  <c r="Y165" i="55"/>
  <c r="AA34" i="55"/>
  <c r="W128" i="47"/>
  <c r="AD101" i="47"/>
  <c r="AI216" i="57"/>
  <c r="Y219" i="57"/>
  <c r="T103" i="47" s="1"/>
  <c r="Z183" i="56"/>
  <c r="U99" i="47"/>
  <c r="AJ144" i="56"/>
  <c r="AL123" i="56"/>
  <c r="AK144" i="56" s="1"/>
  <c r="AH99" i="47" s="1"/>
  <c r="U25" i="47"/>
  <c r="Y197" i="55"/>
  <c r="V135" i="47"/>
  <c r="Z27" i="55"/>
  <c r="T107" i="47"/>
  <c r="Y220" i="57"/>
  <c r="Y132" i="56"/>
  <c r="U87" i="47" s="1"/>
  <c r="AA111" i="56"/>
  <c r="Y138" i="56"/>
  <c r="U93" i="47" s="1"/>
  <c r="AA117" i="56"/>
  <c r="AH132" i="56"/>
  <c r="AD87" i="47" s="1"/>
  <c r="AJ111" i="56"/>
  <c r="V35" i="47"/>
  <c r="Z75" i="55"/>
  <c r="U38" i="47"/>
  <c r="Y78" i="55"/>
  <c r="AG139" i="56"/>
  <c r="AC94" i="47" s="1"/>
  <c r="AI118" i="56"/>
  <c r="X217" i="57"/>
  <c r="S104" i="47" s="1"/>
  <c r="U50" i="47"/>
  <c r="Y160" i="55"/>
  <c r="AG137" i="56"/>
  <c r="AC92" i="47" s="1"/>
  <c r="AI116" i="56"/>
  <c r="AG143" i="56"/>
  <c r="AI122" i="56"/>
  <c r="AH220" i="57"/>
  <c r="AC107" i="47" s="1"/>
  <c r="V32" i="47"/>
  <c r="Z74" i="55"/>
  <c r="AA32" i="55"/>
  <c r="W131" i="47"/>
  <c r="U47" i="47"/>
  <c r="Y155" i="55"/>
  <c r="AB105" i="47"/>
  <c r="AG221" i="57"/>
  <c r="X127" i="47"/>
  <c r="AB28" i="55"/>
  <c r="AG182" i="56"/>
  <c r="AB98" i="47"/>
  <c r="U15" i="47"/>
  <c r="Y134" i="55"/>
  <c r="U28" i="47"/>
  <c r="Y200" i="55"/>
  <c r="U61" i="47"/>
  <c r="Y243" i="55"/>
  <c r="U13" i="47"/>
  <c r="Y140" i="55"/>
  <c r="U17" i="47"/>
  <c r="Y141" i="55"/>
  <c r="Y136" i="56"/>
  <c r="U91" i="47" s="1"/>
  <c r="AA115" i="56"/>
  <c r="V37" i="47"/>
  <c r="Z73" i="55"/>
  <c r="AG135" i="56"/>
  <c r="AC90" i="47" s="1"/>
  <c r="AI114" i="56"/>
  <c r="U16" i="47"/>
  <c r="Y136" i="55"/>
  <c r="AG136" i="56"/>
  <c r="AC91" i="47" s="1"/>
  <c r="AI115" i="56"/>
  <c r="V57" i="47"/>
  <c r="Z233" i="55"/>
  <c r="AG133" i="56"/>
  <c r="AC88" i="47" s="1"/>
  <c r="AI112" i="56"/>
  <c r="U43" i="47"/>
  <c r="Y158" i="55"/>
  <c r="AH141" i="56"/>
  <c r="AD96" i="47" s="1"/>
  <c r="AJ120" i="56"/>
  <c r="V40" i="47"/>
  <c r="Z88" i="55"/>
  <c r="U31" i="47"/>
  <c r="Y72" i="55"/>
  <c r="U30" i="47"/>
  <c r="Y203" i="55"/>
  <c r="U56" i="47"/>
  <c r="Y237" i="55"/>
  <c r="X134" i="56"/>
  <c r="T89" i="47" s="1"/>
  <c r="Z113" i="56"/>
  <c r="AH181" i="56"/>
  <c r="AC97" i="47"/>
  <c r="Y141" i="56"/>
  <c r="U96" i="47" s="1"/>
  <c r="AA120" i="56"/>
  <c r="T102" i="47"/>
  <c r="Y215" i="57"/>
  <c r="V22" i="47"/>
  <c r="Z196" i="55"/>
  <c r="U60" i="47"/>
  <c r="Y238" i="55"/>
  <c r="U53" i="47"/>
  <c r="Y236" i="55"/>
  <c r="U11" i="47"/>
  <c r="Y137" i="55"/>
  <c r="S106" i="47"/>
  <c r="X218" i="57"/>
  <c r="U101" i="47"/>
  <c r="Z216" i="57"/>
  <c r="V26" i="47"/>
  <c r="Z193" i="55"/>
  <c r="U58" i="47"/>
  <c r="Y235" i="55"/>
  <c r="Y139" i="56"/>
  <c r="U94" i="47" s="1"/>
  <c r="AA118" i="56"/>
  <c r="V39" i="47"/>
  <c r="Z76" i="55"/>
  <c r="U19" i="47"/>
  <c r="Y144" i="55"/>
  <c r="U10" i="47"/>
  <c r="Y135" i="55"/>
  <c r="U20" i="47"/>
  <c r="Y151" i="55"/>
  <c r="U14" i="47"/>
  <c r="Y138" i="55"/>
  <c r="AC104" i="47"/>
  <c r="AH217" i="57"/>
  <c r="U34" i="47"/>
  <c r="Y77" i="55"/>
  <c r="U29" i="47"/>
  <c r="Y198" i="55"/>
  <c r="AA33" i="55"/>
  <c r="W130" i="47"/>
  <c r="AV12" i="53" a="1"/>
  <c r="AV12" i="53" s="1"/>
  <c r="AV11" i="53" s="1"/>
  <c r="AV67" i="53"/>
  <c r="AV104" i="53" s="1"/>
  <c r="AV5" i="53"/>
  <c r="AV3" i="53"/>
  <c r="AV10" i="53" s="1"/>
  <c r="AR10" i="53" s="1"/>
  <c r="AS10" i="53" s="1"/>
  <c r="AT10" i="53" s="1"/>
  <c r="AU10" i="53" s="1"/>
  <c r="AV22" i="53"/>
  <c r="AV25" i="53" s="1"/>
  <c r="AV7" i="53"/>
  <c r="AV6" i="53"/>
  <c r="AU8" i="53"/>
  <c r="AU88" i="53" s="1"/>
  <c r="AL7" i="47"/>
  <c r="AP26" i="35"/>
  <c r="AM7" i="47" s="1"/>
  <c r="AP24" i="35"/>
  <c r="AM9" i="47" s="1"/>
  <c r="AL9" i="47"/>
  <c r="AP22" i="35"/>
  <c r="AM5" i="47" s="1"/>
  <c r="AL5" i="47"/>
  <c r="AP23" i="35"/>
  <c r="AM8" i="47" s="1"/>
  <c r="AL8" i="47"/>
  <c r="AK49" i="29" l="1"/>
  <c r="AH85" i="47" s="1"/>
  <c r="AG85" i="47"/>
  <c r="V36" i="47"/>
  <c r="X214" i="57"/>
  <c r="S100" i="47" s="1"/>
  <c r="AH215" i="57"/>
  <c r="AC102" i="47" s="1"/>
  <c r="AH214" i="57"/>
  <c r="AC100" i="47" s="1"/>
  <c r="AH218" i="57"/>
  <c r="AC106" i="47" s="1"/>
  <c r="Y221" i="57"/>
  <c r="T105" i="47" s="1"/>
  <c r="V49" i="47"/>
  <c r="Z133" i="56"/>
  <c r="V88" i="47" s="1"/>
  <c r="AB112" i="56"/>
  <c r="AA133" i="56" s="1"/>
  <c r="V30" i="47"/>
  <c r="Z203" i="55"/>
  <c r="AB33" i="55"/>
  <c r="X130" i="47"/>
  <c r="AA183" i="56"/>
  <c r="V99" i="47"/>
  <c r="AB37" i="55"/>
  <c r="X134" i="47"/>
  <c r="AI220" i="57"/>
  <c r="AD107" i="47" s="1"/>
  <c r="AA216" i="57"/>
  <c r="W101" i="47" s="1"/>
  <c r="Z215" i="57"/>
  <c r="U102" i="47" s="1"/>
  <c r="V31" i="47"/>
  <c r="Z72" i="55"/>
  <c r="AH136" i="56"/>
  <c r="AD91" i="47" s="1"/>
  <c r="AJ115" i="56"/>
  <c r="V13" i="47"/>
  <c r="Z140" i="55"/>
  <c r="AH221" i="57"/>
  <c r="AC105" i="47" s="1"/>
  <c r="AH143" i="56"/>
  <c r="AJ122" i="56"/>
  <c r="W35" i="47"/>
  <c r="AA75" i="55"/>
  <c r="AA27" i="55"/>
  <c r="W135" i="47"/>
  <c r="V41" i="47"/>
  <c r="Z81" i="55"/>
  <c r="AA31" i="55"/>
  <c r="W129" i="47"/>
  <c r="Z142" i="56"/>
  <c r="AB121" i="56"/>
  <c r="AA142" i="56" s="1"/>
  <c r="X97" i="47" s="1"/>
  <c r="W36" i="47"/>
  <c r="AA71" i="55"/>
  <c r="AI140" i="56"/>
  <c r="AE95" i="47" s="1"/>
  <c r="AK119" i="56"/>
  <c r="V52" i="47"/>
  <c r="Z234" i="55"/>
  <c r="W22" i="47"/>
  <c r="AA196" i="55"/>
  <c r="W54" i="47"/>
  <c r="AA241" i="55"/>
  <c r="V10" i="47"/>
  <c r="Z135" i="55"/>
  <c r="AH182" i="56"/>
  <c r="AC98" i="47"/>
  <c r="AB34" i="55"/>
  <c r="X128" i="47"/>
  <c r="U97" i="47"/>
  <c r="Z181" i="56"/>
  <c r="V132" i="47"/>
  <c r="Z253" i="55"/>
  <c r="V29" i="47"/>
  <c r="Z198" i="55"/>
  <c r="V34" i="47"/>
  <c r="Z77" i="55"/>
  <c r="V19" i="47"/>
  <c r="Z144" i="55"/>
  <c r="Y218" i="57"/>
  <c r="T106" i="47" s="1"/>
  <c r="Z141" i="56"/>
  <c r="V96" i="47" s="1"/>
  <c r="AB120" i="56"/>
  <c r="AA141" i="56" s="1"/>
  <c r="W40" i="47"/>
  <c r="AA88" i="55"/>
  <c r="V16" i="47"/>
  <c r="Z136" i="55"/>
  <c r="V61" i="47"/>
  <c r="Z243" i="55"/>
  <c r="V47" i="47"/>
  <c r="Z155" i="55"/>
  <c r="AH137" i="56"/>
  <c r="AD92" i="47" s="1"/>
  <c r="AJ116" i="56"/>
  <c r="V25" i="47"/>
  <c r="Z197" i="55"/>
  <c r="V51" i="47"/>
  <c r="Z165" i="55"/>
  <c r="V48" i="47"/>
  <c r="Z157" i="55"/>
  <c r="V12" i="47"/>
  <c r="Z142" i="55"/>
  <c r="V24" i="47"/>
  <c r="Z199" i="55"/>
  <c r="V27" i="47"/>
  <c r="Z195" i="55"/>
  <c r="W21" i="47"/>
  <c r="AA194" i="55"/>
  <c r="V59" i="47"/>
  <c r="Z240" i="55"/>
  <c r="Z220" i="57"/>
  <c r="U107" i="47" s="1"/>
  <c r="AB183" i="56"/>
  <c r="W99" i="47"/>
  <c r="AI217" i="57"/>
  <c r="AD104" i="47" s="1"/>
  <c r="W39" i="47"/>
  <c r="AA76" i="55"/>
  <c r="V11" i="47"/>
  <c r="Z137" i="55"/>
  <c r="AI141" i="56"/>
  <c r="AE96" i="47" s="1"/>
  <c r="AK120" i="56"/>
  <c r="AH135" i="56"/>
  <c r="AD90" i="47" s="1"/>
  <c r="AJ114" i="56"/>
  <c r="V28" i="47"/>
  <c r="Z200" i="55"/>
  <c r="V50" i="47"/>
  <c r="Z160" i="55"/>
  <c r="AI132" i="56"/>
  <c r="AE87" i="47" s="1"/>
  <c r="AK111" i="56"/>
  <c r="AL183" i="56"/>
  <c r="AG99" i="47"/>
  <c r="W33" i="47"/>
  <c r="AA79" i="55"/>
  <c r="V42" i="47"/>
  <c r="Z156" i="55"/>
  <c r="W45" i="47"/>
  <c r="AA161" i="55"/>
  <c r="V18" i="47"/>
  <c r="Z139" i="55"/>
  <c r="V46" i="47"/>
  <c r="Z159" i="55"/>
  <c r="Y143" i="56"/>
  <c r="AA122" i="56"/>
  <c r="V17" i="47"/>
  <c r="Z141" i="55"/>
  <c r="V38" i="47"/>
  <c r="Z78" i="55"/>
  <c r="AK183" i="56"/>
  <c r="AF99" i="47"/>
  <c r="T98" i="47"/>
  <c r="Y182" i="56"/>
  <c r="W57" i="47"/>
  <c r="AA233" i="55"/>
  <c r="V53" i="47"/>
  <c r="Z236" i="55"/>
  <c r="Y134" i="56"/>
  <c r="U89" i="47" s="1"/>
  <c r="AA113" i="56"/>
  <c r="V43" i="47"/>
  <c r="Z158" i="55"/>
  <c r="W37" i="47"/>
  <c r="AA73" i="55"/>
  <c r="V15" i="47"/>
  <c r="Z134" i="55"/>
  <c r="T104" i="47"/>
  <c r="Y217" i="57"/>
  <c r="Z138" i="56"/>
  <c r="V93" i="47" s="1"/>
  <c r="AB117" i="56"/>
  <c r="AA138" i="56" s="1"/>
  <c r="W55" i="47"/>
  <c r="AA239" i="55"/>
  <c r="AI219" i="57"/>
  <c r="AD103" i="47" s="1"/>
  <c r="AI134" i="56"/>
  <c r="AE89" i="47" s="1"/>
  <c r="AK113" i="56"/>
  <c r="V44" i="47"/>
  <c r="Z163" i="55"/>
  <c r="AH138" i="56"/>
  <c r="AD93" i="47" s="1"/>
  <c r="AJ117" i="56"/>
  <c r="AI142" i="56"/>
  <c r="AK121" i="56"/>
  <c r="AE101" i="47"/>
  <c r="AJ216" i="57"/>
  <c r="AB32" i="55"/>
  <c r="X131" i="47"/>
  <c r="AI181" i="56"/>
  <c r="AD97" i="47"/>
  <c r="W26" i="47"/>
  <c r="AA193" i="55"/>
  <c r="W49" i="47"/>
  <c r="AA162" i="55"/>
  <c r="V58" i="47"/>
  <c r="Z235" i="55"/>
  <c r="V60" i="47"/>
  <c r="Z238" i="55"/>
  <c r="V56" i="47"/>
  <c r="Z237" i="55"/>
  <c r="AH133" i="56"/>
  <c r="AD88" i="47" s="1"/>
  <c r="AJ112" i="56"/>
  <c r="Z136" i="56"/>
  <c r="V91" i="47" s="1"/>
  <c r="AB115" i="56"/>
  <c r="AA136" i="56" s="1"/>
  <c r="W32" i="47"/>
  <c r="AA74" i="55"/>
  <c r="AH139" i="56"/>
  <c r="AD94" i="47" s="1"/>
  <c r="AJ118" i="56"/>
  <c r="Z132" i="56"/>
  <c r="V87" i="47" s="1"/>
  <c r="AB111" i="56"/>
  <c r="AA132" i="56" s="1"/>
  <c r="Z219" i="57"/>
  <c r="U103" i="47" s="1"/>
  <c r="Y140" i="56"/>
  <c r="U95" i="47" s="1"/>
  <c r="AA119" i="56"/>
  <c r="Y137" i="56"/>
  <c r="U92" i="47" s="1"/>
  <c r="AA116" i="56"/>
  <c r="Y135" i="56"/>
  <c r="U90" i="47" s="1"/>
  <c r="AA114" i="56"/>
  <c r="W23" i="47"/>
  <c r="AA201" i="55"/>
  <c r="V20" i="47"/>
  <c r="Z151" i="55"/>
  <c r="AC28" i="55"/>
  <c r="Y127" i="47"/>
  <c r="Z139" i="56"/>
  <c r="V94" i="47" s="1"/>
  <c r="AB118" i="56"/>
  <c r="AA139" i="56" s="1"/>
  <c r="V14" i="47"/>
  <c r="Z138" i="55"/>
  <c r="AA36" i="55"/>
  <c r="W133" i="47"/>
  <c r="AU77" i="53"/>
  <c r="AU87" i="53"/>
  <c r="AU76" i="53"/>
  <c r="AV8" i="53"/>
  <c r="W94" i="47" l="1"/>
  <c r="X94" i="47"/>
  <c r="W88" i="47"/>
  <c r="X88" i="47"/>
  <c r="W96" i="47"/>
  <c r="X96" i="47"/>
  <c r="W87" i="47"/>
  <c r="X87" i="47"/>
  <c r="W93" i="47"/>
  <c r="X93" i="47"/>
  <c r="W91" i="47"/>
  <c r="X91" i="47"/>
  <c r="V101" i="47"/>
  <c r="AI214" i="57"/>
  <c r="AD100" i="47" s="1"/>
  <c r="AI215" i="57"/>
  <c r="AD102" i="47" s="1"/>
  <c r="Y214" i="57"/>
  <c r="T100" i="47" s="1"/>
  <c r="Z221" i="57"/>
  <c r="U105" i="47" s="1"/>
  <c r="AI218" i="57"/>
  <c r="AD106" i="47" s="1"/>
  <c r="AB36" i="55"/>
  <c r="X133" i="47"/>
  <c r="AJ181" i="56"/>
  <c r="AE97" i="47"/>
  <c r="AI182" i="56"/>
  <c r="AD98" i="47"/>
  <c r="W53" i="47"/>
  <c r="AA236" i="55"/>
  <c r="Z143" i="56"/>
  <c r="AB122" i="56"/>
  <c r="AA143" i="56" s="1"/>
  <c r="X98" i="47" s="1"/>
  <c r="X33" i="47"/>
  <c r="AB79" i="55"/>
  <c r="AI135" i="56"/>
  <c r="AE90" i="47" s="1"/>
  <c r="AK114" i="56"/>
  <c r="AA220" i="57"/>
  <c r="W107" i="47" s="1"/>
  <c r="W48" i="47"/>
  <c r="AA157" i="55"/>
  <c r="W61" i="47"/>
  <c r="AA243" i="55"/>
  <c r="W34" i="47"/>
  <c r="AA77" i="55"/>
  <c r="W10" i="47"/>
  <c r="AA135" i="55"/>
  <c r="AB181" i="56"/>
  <c r="W97" i="47"/>
  <c r="AI221" i="57"/>
  <c r="AD105" i="47" s="1"/>
  <c r="AJ220" i="57"/>
  <c r="AE107" i="47" s="1"/>
  <c r="AI143" i="56"/>
  <c r="AK122" i="56"/>
  <c r="Z182" i="56"/>
  <c r="U98" i="47"/>
  <c r="AA181" i="56"/>
  <c r="V97" i="47"/>
  <c r="W58" i="47"/>
  <c r="AA235" i="55"/>
  <c r="W19" i="47"/>
  <c r="AA144" i="55"/>
  <c r="W14" i="47"/>
  <c r="AA138" i="55"/>
  <c r="Z140" i="56"/>
  <c r="V95" i="47" s="1"/>
  <c r="AB119" i="56"/>
  <c r="AA140" i="56" s="1"/>
  <c r="X26" i="47"/>
  <c r="AB193" i="55"/>
  <c r="W44" i="47"/>
  <c r="AA163" i="55"/>
  <c r="U104" i="47"/>
  <c r="Z217" i="57"/>
  <c r="X57" i="47"/>
  <c r="AB233" i="55"/>
  <c r="W46" i="47"/>
  <c r="AA159" i="55"/>
  <c r="AJ141" i="56"/>
  <c r="AF96" i="47" s="1"/>
  <c r="AL120" i="56"/>
  <c r="AK141" i="56" s="1"/>
  <c r="W59" i="47"/>
  <c r="AA240" i="55"/>
  <c r="W51" i="47"/>
  <c r="AA165" i="55"/>
  <c r="W16" i="47"/>
  <c r="AA136" i="55"/>
  <c r="W29" i="47"/>
  <c r="AA198" i="55"/>
  <c r="X54" i="47"/>
  <c r="AB241" i="55"/>
  <c r="W13" i="47"/>
  <c r="AA140" i="55"/>
  <c r="Z135" i="56"/>
  <c r="V90" i="47" s="1"/>
  <c r="AB114" i="56"/>
  <c r="AA135" i="56" s="1"/>
  <c r="AB31" i="55"/>
  <c r="X129" i="47"/>
  <c r="AC37" i="55"/>
  <c r="Y134" i="47"/>
  <c r="W28" i="47"/>
  <c r="AA200" i="55"/>
  <c r="AI133" i="56"/>
  <c r="AE88" i="47" s="1"/>
  <c r="AK112" i="56"/>
  <c r="AJ134" i="56"/>
  <c r="AF89" i="47" s="1"/>
  <c r="AL113" i="56"/>
  <c r="AK134" i="56" s="1"/>
  <c r="W15" i="47"/>
  <c r="AA134" i="55"/>
  <c r="W18" i="47"/>
  <c r="AA139" i="55"/>
  <c r="AJ132" i="56"/>
  <c r="AF87" i="47" s="1"/>
  <c r="AL111" i="56"/>
  <c r="AK132" i="56" s="1"/>
  <c r="W11" i="47"/>
  <c r="AA137" i="55"/>
  <c r="X21" i="47"/>
  <c r="AB194" i="55"/>
  <c r="W25" i="47"/>
  <c r="AA197" i="55"/>
  <c r="X40" i="47"/>
  <c r="AB88" i="55"/>
  <c r="W132" i="47"/>
  <c r="AA253" i="55"/>
  <c r="X22" i="47"/>
  <c r="AB196" i="55"/>
  <c r="W41" i="47"/>
  <c r="AA81" i="55"/>
  <c r="AI136" i="56"/>
  <c r="AE91" i="47" s="1"/>
  <c r="AK115" i="56"/>
  <c r="AI139" i="56"/>
  <c r="AE94" i="47" s="1"/>
  <c r="AK118" i="56"/>
  <c r="AI138" i="56"/>
  <c r="AE93" i="47" s="1"/>
  <c r="AK117" i="56"/>
  <c r="X55" i="47"/>
  <c r="AB239" i="55"/>
  <c r="Z137" i="56"/>
  <c r="V92" i="47" s="1"/>
  <c r="AB116" i="56"/>
  <c r="AA137" i="56" s="1"/>
  <c r="W20" i="47"/>
  <c r="AA151" i="55"/>
  <c r="AJ219" i="57"/>
  <c r="AE103" i="47" s="1"/>
  <c r="X37" i="47"/>
  <c r="AB73" i="55"/>
  <c r="X45" i="47"/>
  <c r="AB161" i="55"/>
  <c r="W50" i="47"/>
  <c r="AA160" i="55"/>
  <c r="X39" i="47"/>
  <c r="AB76" i="55"/>
  <c r="W27" i="47"/>
  <c r="AA195" i="55"/>
  <c r="W52" i="47"/>
  <c r="AA234" i="55"/>
  <c r="W31" i="47"/>
  <c r="AA72" i="55"/>
  <c r="W17" i="47"/>
  <c r="AA141" i="55"/>
  <c r="W47" i="47"/>
  <c r="AA155" i="55"/>
  <c r="X32" i="47"/>
  <c r="AB74" i="55"/>
  <c r="AA219" i="57"/>
  <c r="W103" i="47" s="1"/>
  <c r="W56" i="47"/>
  <c r="AA237" i="55"/>
  <c r="AC32" i="55"/>
  <c r="Y131" i="47"/>
  <c r="AB27" i="55"/>
  <c r="X135" i="47"/>
  <c r="Y130" i="47"/>
  <c r="AC33" i="55"/>
  <c r="AJ142" i="56"/>
  <c r="AL121" i="56"/>
  <c r="AK142" i="56" s="1"/>
  <c r="AH97" i="47" s="1"/>
  <c r="X36" i="47"/>
  <c r="AB71" i="55"/>
  <c r="AK216" i="57"/>
  <c r="AG101" i="47" s="1"/>
  <c r="W43" i="47"/>
  <c r="AA158" i="55"/>
  <c r="W38" i="47"/>
  <c r="AA78" i="55"/>
  <c r="W42" i="47"/>
  <c r="AA156" i="55"/>
  <c r="AE104" i="47"/>
  <c r="AJ217" i="57"/>
  <c r="W24" i="47"/>
  <c r="AA199" i="55"/>
  <c r="AI137" i="56"/>
  <c r="AE92" i="47" s="1"/>
  <c r="AK116" i="56"/>
  <c r="U106" i="47"/>
  <c r="Z218" i="57"/>
  <c r="AJ140" i="56"/>
  <c r="AF95" i="47" s="1"/>
  <c r="AL119" i="56"/>
  <c r="AK140" i="56" s="1"/>
  <c r="X35" i="47"/>
  <c r="AB75" i="55"/>
  <c r="V102" i="47"/>
  <c r="AA215" i="57"/>
  <c r="W102" i="47" s="1"/>
  <c r="W30" i="47"/>
  <c r="AA203" i="55"/>
  <c r="Z134" i="56"/>
  <c r="V89" i="47" s="1"/>
  <c r="AB113" i="56"/>
  <c r="AA134" i="56" s="1"/>
  <c r="W12" i="47"/>
  <c r="AA142" i="55"/>
  <c r="X49" i="47"/>
  <c r="AB162" i="55"/>
  <c r="AD28" i="55"/>
  <c r="Z127" i="47"/>
  <c r="X23" i="47"/>
  <c r="AB201" i="55"/>
  <c r="W60" i="47"/>
  <c r="AA238" i="55"/>
  <c r="AC34" i="55"/>
  <c r="Y128" i="47"/>
  <c r="AV88" i="53"/>
  <c r="AV87" i="53"/>
  <c r="AV77" i="53"/>
  <c r="AV76" i="53"/>
  <c r="AG89" i="47" l="1"/>
  <c r="AH89" i="47"/>
  <c r="AG96" i="47"/>
  <c r="AH96" i="47"/>
  <c r="W95" i="47"/>
  <c r="X95" i="47"/>
  <c r="W92" i="47"/>
  <c r="X92" i="47"/>
  <c r="AG87" i="47"/>
  <c r="AH87" i="47"/>
  <c r="AG95" i="47"/>
  <c r="AH95" i="47"/>
  <c r="W89" i="47"/>
  <c r="X89" i="47"/>
  <c r="W90" i="47"/>
  <c r="X90" i="47"/>
  <c r="AF101" i="47"/>
  <c r="V103" i="47"/>
  <c r="V107" i="47"/>
  <c r="Z214" i="57"/>
  <c r="U100" i="47" s="1"/>
  <c r="AJ215" i="57"/>
  <c r="AE102" i="47" s="1"/>
  <c r="AJ214" i="57"/>
  <c r="AE100" i="47" s="1"/>
  <c r="AJ218" i="57"/>
  <c r="AE106" i="47" s="1"/>
  <c r="AA221" i="57"/>
  <c r="W105" i="47" s="1"/>
  <c r="X31" i="47"/>
  <c r="AB72" i="55"/>
  <c r="Y40" i="47"/>
  <c r="AC88" i="55"/>
  <c r="X51" i="47"/>
  <c r="AB165" i="55"/>
  <c r="X44" i="47"/>
  <c r="AB163" i="55"/>
  <c r="X10" i="47"/>
  <c r="AB135" i="55"/>
  <c r="Y33" i="47"/>
  <c r="AC79" i="55"/>
  <c r="AD34" i="55"/>
  <c r="Z128" i="47"/>
  <c r="AD32" i="55"/>
  <c r="Z131" i="47"/>
  <c r="AC31" i="55"/>
  <c r="Y129" i="47"/>
  <c r="AJ138" i="56"/>
  <c r="AF93" i="47" s="1"/>
  <c r="AL117" i="56"/>
  <c r="AK138" i="56" s="1"/>
  <c r="X30" i="47"/>
  <c r="AB203" i="55"/>
  <c r="X56" i="47"/>
  <c r="AB237" i="55"/>
  <c r="X52" i="47"/>
  <c r="AB234" i="55"/>
  <c r="Y37" i="47"/>
  <c r="AC73" i="55"/>
  <c r="X25" i="47"/>
  <c r="AB197" i="55"/>
  <c r="X59" i="47"/>
  <c r="AB240" i="55"/>
  <c r="Y26" i="47"/>
  <c r="AC193" i="55"/>
  <c r="X34" i="47"/>
  <c r="AB77" i="55"/>
  <c r="AB182" i="56"/>
  <c r="W98" i="47"/>
  <c r="X43" i="47"/>
  <c r="AB158" i="55"/>
  <c r="AJ139" i="56"/>
  <c r="AF94" i="47" s="1"/>
  <c r="AL118" i="56"/>
  <c r="AK139" i="56" s="1"/>
  <c r="AA182" i="56"/>
  <c r="V98" i="47"/>
  <c r="Y45" i="47"/>
  <c r="AC161" i="55"/>
  <c r="Y36" i="47"/>
  <c r="AC71" i="55"/>
  <c r="AJ136" i="56"/>
  <c r="AF91" i="47" s="1"/>
  <c r="AL115" i="56"/>
  <c r="AK136" i="56" s="1"/>
  <c r="Y21" i="47"/>
  <c r="AC194" i="55"/>
  <c r="AJ133" i="56"/>
  <c r="AF88" i="47" s="1"/>
  <c r="AL112" i="56"/>
  <c r="AK133" i="56" s="1"/>
  <c r="X13" i="47"/>
  <c r="AB140" i="55"/>
  <c r="AJ143" i="56"/>
  <c r="AL122" i="56"/>
  <c r="AK143" i="56" s="1"/>
  <c r="AH98" i="47" s="1"/>
  <c r="X61" i="47"/>
  <c r="AB243" i="55"/>
  <c r="X53" i="47"/>
  <c r="AB236" i="55"/>
  <c r="Y23" i="47"/>
  <c r="AC201" i="55"/>
  <c r="AJ182" i="56"/>
  <c r="AE98" i="47"/>
  <c r="AJ137" i="56"/>
  <c r="AF92" i="47" s="1"/>
  <c r="AL116" i="56"/>
  <c r="AK137" i="56" s="1"/>
  <c r="X15" i="47"/>
  <c r="AB134" i="55"/>
  <c r="X60" i="47"/>
  <c r="AB238" i="55"/>
  <c r="X24" i="47"/>
  <c r="AB199" i="55"/>
  <c r="AK217" i="57"/>
  <c r="AG104" i="47" s="1"/>
  <c r="AK219" i="57"/>
  <c r="AG103" i="47" s="1"/>
  <c r="Y35" i="47"/>
  <c r="AC75" i="55"/>
  <c r="AL181" i="56"/>
  <c r="AG97" i="47"/>
  <c r="Y32" i="47"/>
  <c r="AC74" i="55"/>
  <c r="X27" i="47"/>
  <c r="AB195" i="55"/>
  <c r="X20" i="47"/>
  <c r="AB151" i="55"/>
  <c r="X41" i="47"/>
  <c r="AB81" i="55"/>
  <c r="X11" i="47"/>
  <c r="AB137" i="55"/>
  <c r="X28" i="47"/>
  <c r="AB200" i="55"/>
  <c r="Y54" i="47"/>
  <c r="AC241" i="55"/>
  <c r="X46" i="47"/>
  <c r="AB159" i="55"/>
  <c r="X14" i="47"/>
  <c r="AB138" i="55"/>
  <c r="AK220" i="57"/>
  <c r="AG107" i="47" s="1"/>
  <c r="X48" i="47"/>
  <c r="AB157" i="55"/>
  <c r="AE28" i="55"/>
  <c r="AA127" i="47"/>
  <c r="AF97" i="47"/>
  <c r="AK181" i="56"/>
  <c r="X42" i="47"/>
  <c r="AB156" i="55"/>
  <c r="AD33" i="55"/>
  <c r="Z130" i="47"/>
  <c r="X47" i="47"/>
  <c r="AB155" i="55"/>
  <c r="Y39" i="47"/>
  <c r="AC76" i="55"/>
  <c r="Y22" i="47"/>
  <c r="AC196" i="55"/>
  <c r="X29" i="47"/>
  <c r="AB198" i="55"/>
  <c r="Y57" i="47"/>
  <c r="AC233" i="55"/>
  <c r="X19" i="47"/>
  <c r="AB144" i="55"/>
  <c r="AA218" i="57"/>
  <c r="W106" i="47" s="1"/>
  <c r="X38" i="47"/>
  <c r="AB78" i="55"/>
  <c r="X17" i="47"/>
  <c r="AB141" i="55"/>
  <c r="X50" i="47"/>
  <c r="AB160" i="55"/>
  <c r="Y55" i="47"/>
  <c r="AC239" i="55"/>
  <c r="X132" i="47"/>
  <c r="AB253" i="55"/>
  <c r="X18" i="47"/>
  <c r="AB139" i="55"/>
  <c r="X16" i="47"/>
  <c r="AB136" i="55"/>
  <c r="AA217" i="57"/>
  <c r="W104" i="47" s="1"/>
  <c r="X58" i="47"/>
  <c r="AB235" i="55"/>
  <c r="AJ135" i="56"/>
  <c r="AF90" i="47" s="1"/>
  <c r="AL114" i="56"/>
  <c r="AK135" i="56" s="1"/>
  <c r="Y49" i="47"/>
  <c r="AC162" i="55"/>
  <c r="AJ221" i="57"/>
  <c r="AE105" i="47" s="1"/>
  <c r="X12" i="47"/>
  <c r="AB142" i="55"/>
  <c r="AC27" i="55"/>
  <c r="Y135" i="47"/>
  <c r="AD37" i="55"/>
  <c r="Z134" i="47"/>
  <c r="AC36" i="55"/>
  <c r="Y133" i="47"/>
  <c r="AG92" i="47" l="1"/>
  <c r="AH92" i="47"/>
  <c r="AG93" i="47"/>
  <c r="AH93" i="47"/>
  <c r="AG88" i="47"/>
  <c r="AH88" i="47"/>
  <c r="AG94" i="47"/>
  <c r="AH94" i="47"/>
  <c r="AG90" i="47"/>
  <c r="AH90" i="47"/>
  <c r="AG91" i="47"/>
  <c r="AH91" i="47"/>
  <c r="V104" i="47"/>
  <c r="V106" i="47"/>
  <c r="AF107" i="47"/>
  <c r="AF103" i="47"/>
  <c r="AF104" i="47"/>
  <c r="V105" i="47"/>
  <c r="AK214" i="57"/>
  <c r="AG100" i="47" s="1"/>
  <c r="AK215" i="57"/>
  <c r="AG102" i="47" s="1"/>
  <c r="AA214" i="57"/>
  <c r="W100" i="47" s="1"/>
  <c r="AK218" i="57"/>
  <c r="AG106" i="47" s="1"/>
  <c r="Y58" i="47"/>
  <c r="AC235" i="55"/>
  <c r="Z32" i="47"/>
  <c r="AD74" i="55"/>
  <c r="Y61" i="47"/>
  <c r="AC243" i="55"/>
  <c r="Z36" i="47"/>
  <c r="AD71" i="55"/>
  <c r="Y56" i="47"/>
  <c r="AC237" i="55"/>
  <c r="Z33" i="47"/>
  <c r="AD79" i="55"/>
  <c r="Y28" i="47"/>
  <c r="AC200" i="55"/>
  <c r="Y50" i="47"/>
  <c r="AC160" i="55"/>
  <c r="Y29" i="47"/>
  <c r="AC198" i="55"/>
  <c r="Z54" i="47"/>
  <c r="AD241" i="55"/>
  <c r="Y60" i="47"/>
  <c r="AC238" i="55"/>
  <c r="Y34" i="47"/>
  <c r="AC77" i="55"/>
  <c r="AE37" i="55"/>
  <c r="AA134" i="47"/>
  <c r="AL182" i="56"/>
  <c r="AG98" i="47"/>
  <c r="AD27" i="55"/>
  <c r="Z135" i="47"/>
  <c r="Z39" i="47"/>
  <c r="AD76" i="55"/>
  <c r="Y11" i="47"/>
  <c r="AC137" i="55"/>
  <c r="Y13" i="47"/>
  <c r="AC140" i="55"/>
  <c r="Y59" i="47"/>
  <c r="AC240" i="55"/>
  <c r="Y44" i="47"/>
  <c r="AC163" i="55"/>
  <c r="Z26" i="47"/>
  <c r="AD193" i="55"/>
  <c r="AF28" i="55"/>
  <c r="AB127" i="47"/>
  <c r="Y16" i="47"/>
  <c r="AC136" i="55"/>
  <c r="Y48" i="47"/>
  <c r="AC157" i="55"/>
  <c r="Z35" i="47"/>
  <c r="AD75" i="55"/>
  <c r="Z45" i="47"/>
  <c r="AD161" i="55"/>
  <c r="Y25" i="47"/>
  <c r="AC197" i="55"/>
  <c r="Y51" i="47"/>
  <c r="AC165" i="55"/>
  <c r="Z22" i="47"/>
  <c r="AD196" i="55"/>
  <c r="AK182" i="56"/>
  <c r="AF98" i="47"/>
  <c r="AK221" i="57"/>
  <c r="AG105" i="47" s="1"/>
  <c r="AD31" i="55"/>
  <c r="Z129" i="47"/>
  <c r="Y15" i="47"/>
  <c r="AC134" i="55"/>
  <c r="Y41" i="47"/>
  <c r="AC81" i="55"/>
  <c r="Z49" i="47"/>
  <c r="AD162" i="55"/>
  <c r="Y132" i="47"/>
  <c r="AC253" i="55"/>
  <c r="Y19" i="47"/>
  <c r="AC144" i="55"/>
  <c r="Y14" i="47"/>
  <c r="AC138" i="55"/>
  <c r="Y20" i="47"/>
  <c r="AC151" i="55"/>
  <c r="Z23" i="47"/>
  <c r="AD201" i="55"/>
  <c r="Z21" i="47"/>
  <c r="AD194" i="55"/>
  <c r="Y43" i="47"/>
  <c r="AC158" i="55"/>
  <c r="Z37" i="47"/>
  <c r="AD73" i="55"/>
  <c r="Z40" i="47"/>
  <c r="AD88" i="55"/>
  <c r="Y38" i="47"/>
  <c r="AC78" i="55"/>
  <c r="Y47" i="47"/>
  <c r="AC155" i="55"/>
  <c r="AE33" i="55"/>
  <c r="AA130" i="47"/>
  <c r="AE32" i="55"/>
  <c r="AA131" i="47"/>
  <c r="Y17" i="47"/>
  <c r="AC141" i="55"/>
  <c r="Y10" i="47"/>
  <c r="AC135" i="55"/>
  <c r="Y12" i="47"/>
  <c r="AC142" i="55"/>
  <c r="Y18" i="47"/>
  <c r="AC139" i="55"/>
  <c r="Z55" i="47"/>
  <c r="AD239" i="55"/>
  <c r="Z57" i="47"/>
  <c r="AD233" i="55"/>
  <c r="Y42" i="47"/>
  <c r="AC156" i="55"/>
  <c r="Y46" i="47"/>
  <c r="AC159" i="55"/>
  <c r="Y27" i="47"/>
  <c r="AC195" i="55"/>
  <c r="Y24" i="47"/>
  <c r="AC199" i="55"/>
  <c r="Y53" i="47"/>
  <c r="AC236" i="55"/>
  <c r="Y52" i="47"/>
  <c r="AC234" i="55"/>
  <c r="Y31" i="47"/>
  <c r="AC72" i="55"/>
  <c r="Y30" i="47"/>
  <c r="AC203" i="55"/>
  <c r="AD36" i="55"/>
  <c r="Z133" i="47"/>
  <c r="AA128" i="47"/>
  <c r="AE34" i="55"/>
  <c r="V100" i="47" l="1"/>
  <c r="AF102" i="47"/>
  <c r="AF100" i="47"/>
  <c r="AF105" i="47"/>
  <c r="AF106" i="47"/>
  <c r="Z52" i="47"/>
  <c r="AD234" i="55"/>
  <c r="Z48" i="47"/>
  <c r="AD157" i="55"/>
  <c r="AA21" i="47"/>
  <c r="AE194" i="55"/>
  <c r="AA49" i="47"/>
  <c r="AE162" i="55"/>
  <c r="AA22" i="47"/>
  <c r="AE196" i="55"/>
  <c r="Z16" i="47"/>
  <c r="AD136" i="55"/>
  <c r="Z11" i="47"/>
  <c r="AD137" i="55"/>
  <c r="Z60" i="47"/>
  <c r="AD238" i="55"/>
  <c r="Z56" i="47"/>
  <c r="AD237" i="55"/>
  <c r="Z132" i="47"/>
  <c r="AD253" i="55"/>
  <c r="Z43" i="47"/>
  <c r="AD158" i="55"/>
  <c r="AF32" i="55"/>
  <c r="AB131" i="47"/>
  <c r="Z47" i="47"/>
  <c r="AD155" i="55"/>
  <c r="AA23" i="47"/>
  <c r="AE201" i="55"/>
  <c r="Z41" i="47"/>
  <c r="AD81" i="55"/>
  <c r="Z51" i="47"/>
  <c r="AD165" i="55"/>
  <c r="AA39" i="47"/>
  <c r="AE76" i="55"/>
  <c r="AA54" i="47"/>
  <c r="AE241" i="55"/>
  <c r="AA36" i="47"/>
  <c r="AE71" i="55"/>
  <c r="AA33" i="47"/>
  <c r="AE79" i="55"/>
  <c r="AF34" i="55"/>
  <c r="AB128" i="47"/>
  <c r="AG28" i="55"/>
  <c r="AC127" i="47"/>
  <c r="Z53" i="47"/>
  <c r="AD236" i="55"/>
  <c r="Z18" i="47"/>
  <c r="AD139" i="55"/>
  <c r="Z27" i="47"/>
  <c r="AD195" i="55"/>
  <c r="Z12" i="47"/>
  <c r="AD142" i="55"/>
  <c r="Z38" i="47"/>
  <c r="AD78" i="55"/>
  <c r="Z20" i="47"/>
  <c r="AD151" i="55"/>
  <c r="Z15" i="47"/>
  <c r="AD134" i="55"/>
  <c r="Z25" i="47"/>
  <c r="AD197" i="55"/>
  <c r="AA26" i="47"/>
  <c r="AE193" i="55"/>
  <c r="Z29" i="47"/>
  <c r="AD198" i="55"/>
  <c r="Z61" i="47"/>
  <c r="AD243" i="55"/>
  <c r="AE27" i="55"/>
  <c r="AA135" i="47"/>
  <c r="AA57" i="47"/>
  <c r="AE233" i="55"/>
  <c r="Z30" i="47"/>
  <c r="AD203" i="55"/>
  <c r="Z46" i="47"/>
  <c r="AD159" i="55"/>
  <c r="Z10" i="47"/>
  <c r="AD135" i="55"/>
  <c r="AA40" i="47"/>
  <c r="AE88" i="55"/>
  <c r="Z14" i="47"/>
  <c r="AD138" i="55"/>
  <c r="AA45" i="47"/>
  <c r="AE161" i="55"/>
  <c r="Z44" i="47"/>
  <c r="AD163" i="55"/>
  <c r="Z50" i="47"/>
  <c r="AD160" i="55"/>
  <c r="AA32" i="47"/>
  <c r="AE74" i="55"/>
  <c r="Z13" i="47"/>
  <c r="AD140" i="55"/>
  <c r="AA55" i="47"/>
  <c r="AE239" i="55"/>
  <c r="Z24" i="47"/>
  <c r="AD199" i="55"/>
  <c r="AE31" i="55"/>
  <c r="AA129" i="47"/>
  <c r="Z42" i="47"/>
  <c r="AD156" i="55"/>
  <c r="Z17" i="47"/>
  <c r="AD141" i="55"/>
  <c r="AA37" i="47"/>
  <c r="AE73" i="55"/>
  <c r="Z19" i="47"/>
  <c r="AD144" i="55"/>
  <c r="AA35" i="47"/>
  <c r="AE75" i="55"/>
  <c r="Z59" i="47"/>
  <c r="AD240" i="55"/>
  <c r="Z28" i="47"/>
  <c r="AD200" i="55"/>
  <c r="Z58" i="47"/>
  <c r="AD235" i="55"/>
  <c r="Z34" i="47"/>
  <c r="AD77" i="55"/>
  <c r="AF33" i="55"/>
  <c r="AB130" i="47"/>
  <c r="AE36" i="55"/>
  <c r="AA133" i="47"/>
  <c r="Z31" i="47"/>
  <c r="AD72" i="55"/>
  <c r="AF37" i="55"/>
  <c r="AB134" i="47"/>
  <c r="AA44" i="47" l="1"/>
  <c r="AE163" i="55"/>
  <c r="AF31" i="55"/>
  <c r="AB129" i="47"/>
  <c r="AG32" i="55"/>
  <c r="AC131" i="47"/>
  <c r="AA24" i="47"/>
  <c r="AE199" i="55"/>
  <c r="AB45" i="47"/>
  <c r="AF161" i="55"/>
  <c r="AB57" i="47"/>
  <c r="AF233" i="55"/>
  <c r="AA15" i="47"/>
  <c r="AE134" i="55"/>
  <c r="AA53" i="47"/>
  <c r="AE236" i="55"/>
  <c r="AB39" i="47"/>
  <c r="AF76" i="55"/>
  <c r="AA43" i="47"/>
  <c r="AE158" i="55"/>
  <c r="AB22" i="47"/>
  <c r="AF196" i="55"/>
  <c r="AA30" i="47"/>
  <c r="AE203" i="55"/>
  <c r="AA51" i="47"/>
  <c r="AE165" i="55"/>
  <c r="AA132" i="47"/>
  <c r="AE253" i="55"/>
  <c r="AB49" i="47"/>
  <c r="AF162" i="55"/>
  <c r="AA31" i="47"/>
  <c r="AE72" i="55"/>
  <c r="AA16" i="47"/>
  <c r="AE136" i="55"/>
  <c r="AB35" i="47"/>
  <c r="AF75" i="55"/>
  <c r="AD127" i="47"/>
  <c r="AH28" i="55"/>
  <c r="AA14" i="47"/>
  <c r="AE138" i="55"/>
  <c r="AF27" i="55"/>
  <c r="AB135" i="47"/>
  <c r="AA34" i="47"/>
  <c r="AE77" i="55"/>
  <c r="AB37" i="47"/>
  <c r="AF73" i="55"/>
  <c r="AA13" i="47"/>
  <c r="AE140" i="55"/>
  <c r="AB40" i="47"/>
  <c r="AF88" i="55"/>
  <c r="AA61" i="47"/>
  <c r="AE243" i="55"/>
  <c r="AA38" i="47"/>
  <c r="AE78" i="55"/>
  <c r="AA41" i="47"/>
  <c r="AE81" i="55"/>
  <c r="AA56" i="47"/>
  <c r="AE237" i="55"/>
  <c r="AB21" i="47"/>
  <c r="AF194" i="55"/>
  <c r="AA18" i="47"/>
  <c r="AE139" i="55"/>
  <c r="AA19" i="47"/>
  <c r="AE144" i="55"/>
  <c r="AC128" i="47"/>
  <c r="AG34" i="55"/>
  <c r="AA59" i="47"/>
  <c r="AE240" i="55"/>
  <c r="AA20" i="47"/>
  <c r="AE151" i="55"/>
  <c r="AA58" i="47"/>
  <c r="AE235" i="55"/>
  <c r="AA17" i="47"/>
  <c r="AE141" i="55"/>
  <c r="AB32" i="47"/>
  <c r="AF74" i="55"/>
  <c r="AA10" i="47"/>
  <c r="AE135" i="55"/>
  <c r="AA29" i="47"/>
  <c r="AE198" i="55"/>
  <c r="AA12" i="47"/>
  <c r="AE142" i="55"/>
  <c r="AB33" i="47"/>
  <c r="AF79" i="55"/>
  <c r="AB23" i="47"/>
  <c r="AF201" i="55"/>
  <c r="AA60" i="47"/>
  <c r="AE238" i="55"/>
  <c r="AA48" i="47"/>
  <c r="AE157" i="55"/>
  <c r="AB54" i="47"/>
  <c r="AF241" i="55"/>
  <c r="AF36" i="55"/>
  <c r="AB133" i="47"/>
  <c r="AB55" i="47"/>
  <c r="AF239" i="55"/>
  <c r="AG33" i="55"/>
  <c r="AC130" i="47"/>
  <c r="AA28" i="47"/>
  <c r="AE200" i="55"/>
  <c r="AA42" i="47"/>
  <c r="AE156" i="55"/>
  <c r="AA50" i="47"/>
  <c r="AE160" i="55"/>
  <c r="AA46" i="47"/>
  <c r="AE159" i="55"/>
  <c r="AB26" i="47"/>
  <c r="AF193" i="55"/>
  <c r="AA27" i="47"/>
  <c r="AE195" i="55"/>
  <c r="AB36" i="47"/>
  <c r="AF71" i="55"/>
  <c r="AA47" i="47"/>
  <c r="AE155" i="55"/>
  <c r="AA11" i="47"/>
  <c r="AE137" i="55"/>
  <c r="AA52" i="47"/>
  <c r="AE234" i="55"/>
  <c r="AA25" i="47"/>
  <c r="AE197" i="55"/>
  <c r="AC134" i="47"/>
  <c r="AG37" i="55"/>
  <c r="AC22" i="47" l="1"/>
  <c r="AG196" i="55"/>
  <c r="AB25" i="47"/>
  <c r="AF197" i="55"/>
  <c r="AC26" i="47"/>
  <c r="AG193" i="55"/>
  <c r="AC55" i="47"/>
  <c r="AG239" i="55"/>
  <c r="AC33" i="47"/>
  <c r="AG79" i="55"/>
  <c r="AB58" i="47"/>
  <c r="AF235" i="55"/>
  <c r="AC21" i="47"/>
  <c r="AG194" i="55"/>
  <c r="AB13" i="47"/>
  <c r="AF140" i="55"/>
  <c r="AC35" i="47"/>
  <c r="AG75" i="55"/>
  <c r="AB30" i="47"/>
  <c r="AF203" i="55"/>
  <c r="AC57" i="47"/>
  <c r="AG233" i="55"/>
  <c r="AB20" i="47"/>
  <c r="AF151" i="55"/>
  <c r="AB11" i="47"/>
  <c r="AF137" i="55"/>
  <c r="AB50" i="47"/>
  <c r="AF160" i="55"/>
  <c r="AC54" i="47"/>
  <c r="AG241" i="55"/>
  <c r="AB29" i="47"/>
  <c r="AF198" i="55"/>
  <c r="AB59" i="47"/>
  <c r="AF240" i="55"/>
  <c r="AB41" i="47"/>
  <c r="AF81" i="55"/>
  <c r="AB34" i="47"/>
  <c r="AF77" i="55"/>
  <c r="AB31" i="47"/>
  <c r="AF72" i="55"/>
  <c r="AB43" i="47"/>
  <c r="AF158" i="55"/>
  <c r="AB24" i="47"/>
  <c r="AF199" i="55"/>
  <c r="AB12" i="47"/>
  <c r="AF142" i="55"/>
  <c r="AB52" i="47"/>
  <c r="AF234" i="55"/>
  <c r="AC37" i="47"/>
  <c r="AG73" i="55"/>
  <c r="AB10" i="47"/>
  <c r="AF135" i="55"/>
  <c r="AH34" i="55"/>
  <c r="AD128" i="47"/>
  <c r="AB38" i="47"/>
  <c r="AF78" i="55"/>
  <c r="AC49" i="47"/>
  <c r="AG162" i="55"/>
  <c r="AC39" i="47"/>
  <c r="AG76" i="55"/>
  <c r="AB46" i="47"/>
  <c r="AF159" i="55"/>
  <c r="AG27" i="55"/>
  <c r="AC135" i="47"/>
  <c r="AH32" i="55"/>
  <c r="AD131" i="47"/>
  <c r="AC45" i="47"/>
  <c r="AG161" i="55"/>
  <c r="AB47" i="47"/>
  <c r="AF155" i="55"/>
  <c r="AC36" i="47"/>
  <c r="AG71" i="55"/>
  <c r="AB28" i="47"/>
  <c r="AF200" i="55"/>
  <c r="AB60" i="47"/>
  <c r="AF238" i="55"/>
  <c r="AC32" i="47"/>
  <c r="AG74" i="55"/>
  <c r="AB19" i="47"/>
  <c r="AF144" i="55"/>
  <c r="AB61" i="47"/>
  <c r="AF243" i="55"/>
  <c r="AB14" i="47"/>
  <c r="AF138" i="55"/>
  <c r="AB132" i="47"/>
  <c r="AF253" i="55"/>
  <c r="AB53" i="47"/>
  <c r="AF236" i="55"/>
  <c r="AB16" i="47"/>
  <c r="AF136" i="55"/>
  <c r="AC133" i="47"/>
  <c r="AG36" i="55"/>
  <c r="AB42" i="47"/>
  <c r="AF156" i="55"/>
  <c r="AC129" i="47"/>
  <c r="AG31" i="55"/>
  <c r="AB56" i="47"/>
  <c r="AF237" i="55"/>
  <c r="AH37" i="55"/>
  <c r="AD134" i="47"/>
  <c r="AB27" i="47"/>
  <c r="AF195" i="55"/>
  <c r="AC23" i="47"/>
  <c r="AG201" i="55"/>
  <c r="AB17" i="47"/>
  <c r="AF141" i="55"/>
  <c r="AB18" i="47"/>
  <c r="AF139" i="55"/>
  <c r="AC40" i="47"/>
  <c r="AG88" i="55"/>
  <c r="AI28" i="55"/>
  <c r="AE127" i="47"/>
  <c r="AB51" i="47"/>
  <c r="AF165" i="55"/>
  <c r="AB15" i="47"/>
  <c r="AF134" i="55"/>
  <c r="AB44" i="47"/>
  <c r="AF163" i="55"/>
  <c r="AB48" i="47"/>
  <c r="AF157" i="55"/>
  <c r="AH33" i="55"/>
  <c r="AD130" i="47"/>
  <c r="AC14" i="47" l="1"/>
  <c r="AG138" i="55"/>
  <c r="AC17" i="47"/>
  <c r="AG141" i="55"/>
  <c r="AC61" i="47"/>
  <c r="AG243" i="55"/>
  <c r="AC47" i="47"/>
  <c r="AG155" i="55"/>
  <c r="AD49" i="47"/>
  <c r="AH162" i="55"/>
  <c r="AC12" i="47"/>
  <c r="AG142" i="55"/>
  <c r="AC59" i="47"/>
  <c r="AG240" i="55"/>
  <c r="AD57" i="47"/>
  <c r="AH233" i="55"/>
  <c r="AD33" i="47"/>
  <c r="AH79" i="55"/>
  <c r="AC58" i="47"/>
  <c r="AG235" i="55"/>
  <c r="AC18" i="47"/>
  <c r="AG139" i="55"/>
  <c r="AC15" i="47"/>
  <c r="AG134" i="55"/>
  <c r="AD23" i="47"/>
  <c r="AH201" i="55"/>
  <c r="AH36" i="55"/>
  <c r="AD133" i="47"/>
  <c r="AC19" i="47"/>
  <c r="AG144" i="55"/>
  <c r="AD45" i="47"/>
  <c r="AH161" i="55"/>
  <c r="AC38" i="47"/>
  <c r="AG78" i="55"/>
  <c r="AC24" i="47"/>
  <c r="AG199" i="55"/>
  <c r="AC29" i="47"/>
  <c r="AG198" i="55"/>
  <c r="AC30" i="47"/>
  <c r="AG203" i="55"/>
  <c r="AD55" i="47"/>
  <c r="AH239" i="55"/>
  <c r="AC41" i="47"/>
  <c r="AG81" i="55"/>
  <c r="AD129" i="47"/>
  <c r="AH31" i="55"/>
  <c r="AC51" i="47"/>
  <c r="AG165" i="55"/>
  <c r="AC27" i="47"/>
  <c r="AG195" i="55"/>
  <c r="AC16" i="47"/>
  <c r="AG136" i="55"/>
  <c r="AD32" i="47"/>
  <c r="AH74" i="55"/>
  <c r="AC43" i="47"/>
  <c r="AG158" i="55"/>
  <c r="AD54" i="47"/>
  <c r="AH241" i="55"/>
  <c r="AD35" i="47"/>
  <c r="AH75" i="55"/>
  <c r="AD26" i="47"/>
  <c r="AH193" i="55"/>
  <c r="AD39" i="47"/>
  <c r="AH76" i="55"/>
  <c r="AI32" i="55"/>
  <c r="AE131" i="47"/>
  <c r="AI34" i="55"/>
  <c r="AE128" i="47"/>
  <c r="AD36" i="47"/>
  <c r="AH71" i="55"/>
  <c r="AC44" i="47"/>
  <c r="AG163" i="55"/>
  <c r="AC42" i="47"/>
  <c r="AG156" i="55"/>
  <c r="AC53" i="47"/>
  <c r="AG236" i="55"/>
  <c r="AC60" i="47"/>
  <c r="AG238" i="55"/>
  <c r="AC10" i="47"/>
  <c r="AG135" i="55"/>
  <c r="AC31" i="47"/>
  <c r="AG72" i="55"/>
  <c r="AC50" i="47"/>
  <c r="AG160" i="55"/>
  <c r="AC13" i="47"/>
  <c r="AG140" i="55"/>
  <c r="AC25" i="47"/>
  <c r="AG197" i="55"/>
  <c r="AC48" i="47"/>
  <c r="AG157" i="55"/>
  <c r="AC20" i="47"/>
  <c r="AG151" i="55"/>
  <c r="AH27" i="55"/>
  <c r="AD135" i="47"/>
  <c r="AJ28" i="55"/>
  <c r="AF127" i="47"/>
  <c r="AD40" i="47"/>
  <c r="AH88" i="55"/>
  <c r="AC56" i="47"/>
  <c r="AG237" i="55"/>
  <c r="AC132" i="47"/>
  <c r="AG253" i="55"/>
  <c r="AC28" i="47"/>
  <c r="AG200" i="55"/>
  <c r="AC46" i="47"/>
  <c r="AG159" i="55"/>
  <c r="AD37" i="47"/>
  <c r="AH73" i="55"/>
  <c r="AC34" i="47"/>
  <c r="AG77" i="55"/>
  <c r="AC11" i="47"/>
  <c r="AG137" i="55"/>
  <c r="AD21" i="47"/>
  <c r="AH194" i="55"/>
  <c r="AD22" i="47"/>
  <c r="AH196" i="55"/>
  <c r="AC52" i="47"/>
  <c r="AG234" i="55"/>
  <c r="AI37" i="55"/>
  <c r="AE134" i="47"/>
  <c r="AE130" i="47"/>
  <c r="AI33" i="55"/>
  <c r="AD51" i="47" l="1"/>
  <c r="AH165" i="55"/>
  <c r="AD15" i="47"/>
  <c r="AH134" i="55"/>
  <c r="AI31" i="55"/>
  <c r="AE129" i="47"/>
  <c r="AE35" i="47"/>
  <c r="AI75" i="55"/>
  <c r="AF134" i="47"/>
  <c r="AJ37" i="55"/>
  <c r="AE36" i="47"/>
  <c r="AI71" i="55"/>
  <c r="AE22" i="47"/>
  <c r="AI196" i="55"/>
  <c r="AD28" i="47"/>
  <c r="AH200" i="55"/>
  <c r="AD20" i="47"/>
  <c r="AH151" i="55"/>
  <c r="AD10" i="47"/>
  <c r="AH135" i="55"/>
  <c r="AD43" i="47"/>
  <c r="AH158" i="55"/>
  <c r="AD41" i="47"/>
  <c r="AH81" i="55"/>
  <c r="AE45" i="47"/>
  <c r="AI161" i="55"/>
  <c r="AD58" i="47"/>
  <c r="AH235" i="55"/>
  <c r="AD47" i="47"/>
  <c r="AH155" i="55"/>
  <c r="AD24" i="47"/>
  <c r="AH199" i="55"/>
  <c r="AD46" i="47"/>
  <c r="AH159" i="55"/>
  <c r="AD38" i="47"/>
  <c r="AH78" i="55"/>
  <c r="AJ34" i="55"/>
  <c r="AF128" i="47"/>
  <c r="AD12" i="47"/>
  <c r="AH142" i="55"/>
  <c r="AD52" i="47"/>
  <c r="AH234" i="55"/>
  <c r="AI241" i="55"/>
  <c r="AE54" i="47"/>
  <c r="AE135" i="47"/>
  <c r="AI27" i="55"/>
  <c r="AE21" i="47"/>
  <c r="AI194" i="55"/>
  <c r="AD132" i="47"/>
  <c r="AH253" i="55"/>
  <c r="AD48" i="47"/>
  <c r="AH157" i="55"/>
  <c r="AD60" i="47"/>
  <c r="AH238" i="55"/>
  <c r="AE32" i="47"/>
  <c r="AI74" i="55"/>
  <c r="AI239" i="55"/>
  <c r="AE55" i="47"/>
  <c r="AD19" i="47"/>
  <c r="AH144" i="55"/>
  <c r="AE33" i="47"/>
  <c r="AI79" i="55"/>
  <c r="AD61" i="47"/>
  <c r="AH243" i="55"/>
  <c r="AE37" i="47"/>
  <c r="AI73" i="55"/>
  <c r="AD18" i="47"/>
  <c r="AH139" i="55"/>
  <c r="AF131" i="47"/>
  <c r="AJ32" i="55"/>
  <c r="AD44" i="47"/>
  <c r="AH163" i="55"/>
  <c r="AD11" i="47"/>
  <c r="AH137" i="55"/>
  <c r="AD56" i="47"/>
  <c r="AH237" i="55"/>
  <c r="AD25" i="47"/>
  <c r="AH197" i="55"/>
  <c r="AD53" i="47"/>
  <c r="AH236" i="55"/>
  <c r="AE39" i="47"/>
  <c r="AI76" i="55"/>
  <c r="AD16" i="47"/>
  <c r="AH136" i="55"/>
  <c r="AD30" i="47"/>
  <c r="AH203" i="55"/>
  <c r="AE57" i="47"/>
  <c r="AI233" i="55"/>
  <c r="AD17" i="47"/>
  <c r="AH141" i="55"/>
  <c r="AK28" i="55"/>
  <c r="AG127" i="47"/>
  <c r="AE133" i="47"/>
  <c r="AI36" i="55"/>
  <c r="AE49" i="47"/>
  <c r="AI162" i="55"/>
  <c r="AF130" i="47"/>
  <c r="AJ33" i="55"/>
  <c r="AD34" i="47"/>
  <c r="AH77" i="55"/>
  <c r="AE40" i="47"/>
  <c r="AI88" i="55"/>
  <c r="AD13" i="47"/>
  <c r="AH140" i="55"/>
  <c r="AD42" i="47"/>
  <c r="AH156" i="55"/>
  <c r="AE26" i="47"/>
  <c r="AI193" i="55"/>
  <c r="AD27" i="47"/>
  <c r="AH195" i="55"/>
  <c r="AD29" i="47"/>
  <c r="AH198" i="55"/>
  <c r="AE23" i="47"/>
  <c r="AI201" i="55"/>
  <c r="AD59" i="47"/>
  <c r="AH240" i="55"/>
  <c r="AD14" i="47"/>
  <c r="AH138" i="55"/>
  <c r="AD50" i="47"/>
  <c r="AH160" i="55"/>
  <c r="AD31" i="47"/>
  <c r="AH72" i="55"/>
  <c r="AF49" i="47" l="1"/>
  <c r="AJ162" i="55"/>
  <c r="AE44" i="47"/>
  <c r="AI163" i="55"/>
  <c r="AF39" i="47"/>
  <c r="AJ76" i="55"/>
  <c r="AK32" i="55"/>
  <c r="AG131" i="47"/>
  <c r="AF135" i="47"/>
  <c r="AJ27" i="55"/>
  <c r="AE46" i="47"/>
  <c r="AI159" i="55"/>
  <c r="AE43" i="47"/>
  <c r="AI158" i="55"/>
  <c r="AK37" i="55"/>
  <c r="AG134" i="47"/>
  <c r="AE41" i="47"/>
  <c r="AI81" i="55"/>
  <c r="AJ36" i="55"/>
  <c r="AF133" i="47"/>
  <c r="AJ239" i="55"/>
  <c r="AF55" i="47"/>
  <c r="AE38" i="47"/>
  <c r="AI78" i="55"/>
  <c r="AE53" i="47"/>
  <c r="AI236" i="55"/>
  <c r="AE18" i="47"/>
  <c r="AI139" i="55"/>
  <c r="AJ74" i="55"/>
  <c r="AF32" i="47"/>
  <c r="AE24" i="47"/>
  <c r="AI199" i="55"/>
  <c r="AE10" i="47"/>
  <c r="AI135" i="55"/>
  <c r="AJ75" i="55"/>
  <c r="AF35" i="47"/>
  <c r="AE19" i="47"/>
  <c r="AI144" i="55"/>
  <c r="AJ241" i="55"/>
  <c r="AF54" i="47"/>
  <c r="AE50" i="47"/>
  <c r="AI160" i="55"/>
  <c r="AL28" i="55"/>
  <c r="AH127" i="47"/>
  <c r="AF23" i="47"/>
  <c r="AJ201" i="55"/>
  <c r="AJ88" i="55"/>
  <c r="AF40" i="47"/>
  <c r="AE17" i="47"/>
  <c r="AI141" i="55"/>
  <c r="AE25" i="47"/>
  <c r="AI197" i="55"/>
  <c r="AF37" i="47"/>
  <c r="AJ73" i="55"/>
  <c r="AE60" i="47"/>
  <c r="AI238" i="55"/>
  <c r="AE52" i="47"/>
  <c r="AI234" i="55"/>
  <c r="AE47" i="47"/>
  <c r="AI155" i="55"/>
  <c r="AE20" i="47"/>
  <c r="AI151" i="55"/>
  <c r="AJ71" i="55"/>
  <c r="AF36" i="47"/>
  <c r="AJ31" i="55"/>
  <c r="AF129" i="47"/>
  <c r="AE16" i="47"/>
  <c r="AI136" i="55"/>
  <c r="AE14" i="47"/>
  <c r="AI138" i="55"/>
  <c r="AE29" i="47"/>
  <c r="AI198" i="55"/>
  <c r="AE34" i="47"/>
  <c r="AI77" i="55"/>
  <c r="AF57" i="47"/>
  <c r="AJ233" i="55"/>
  <c r="AE56" i="47"/>
  <c r="AI237" i="55"/>
  <c r="AE61" i="47"/>
  <c r="AI243" i="55"/>
  <c r="AE48" i="47"/>
  <c r="AI157" i="55"/>
  <c r="AE12" i="47"/>
  <c r="AI142" i="55"/>
  <c r="AI235" i="55"/>
  <c r="AE58" i="47"/>
  <c r="AE28" i="47"/>
  <c r="AI200" i="55"/>
  <c r="AE15" i="47"/>
  <c r="AI134" i="55"/>
  <c r="AF21" i="47"/>
  <c r="AJ194" i="55"/>
  <c r="AE42" i="47"/>
  <c r="AI156" i="55"/>
  <c r="AJ193" i="55"/>
  <c r="AF26" i="47"/>
  <c r="AE13" i="47"/>
  <c r="AI140" i="55"/>
  <c r="AE27" i="47"/>
  <c r="AI195" i="55"/>
  <c r="AK33" i="55"/>
  <c r="AG130" i="47"/>
  <c r="AE30" i="47"/>
  <c r="AI203" i="55"/>
  <c r="AE11" i="47"/>
  <c r="AI137" i="55"/>
  <c r="AJ79" i="55"/>
  <c r="AF33" i="47"/>
  <c r="AI253" i="55"/>
  <c r="AE132" i="47"/>
  <c r="AJ161" i="55"/>
  <c r="AF45" i="47"/>
  <c r="AF22" i="47"/>
  <c r="AJ196" i="55"/>
  <c r="AE51" i="47"/>
  <c r="AI165" i="55"/>
  <c r="AE59" i="47"/>
  <c r="AI240" i="55"/>
  <c r="AE31" i="47"/>
  <c r="AI72" i="55"/>
  <c r="AG128" i="47"/>
  <c r="AK34" i="55"/>
  <c r="D9" i="15"/>
  <c r="C9" i="15"/>
  <c r="AG40" i="47" l="1"/>
  <c r="AK88" i="55"/>
  <c r="AK75" i="55"/>
  <c r="AG35" i="47"/>
  <c r="AJ159" i="55"/>
  <c r="AF46" i="47"/>
  <c r="AJ138" i="55"/>
  <c r="AF14" i="47"/>
  <c r="AF52" i="47"/>
  <c r="AJ234" i="55"/>
  <c r="AK201" i="55"/>
  <c r="AG23" i="47"/>
  <c r="AF10" i="47"/>
  <c r="AJ135" i="55"/>
  <c r="AG135" i="47"/>
  <c r="AK27" i="55"/>
  <c r="AK239" i="55"/>
  <c r="AG55" i="47"/>
  <c r="AK194" i="55"/>
  <c r="AG21" i="47"/>
  <c r="AJ199" i="55"/>
  <c r="AF24" i="47"/>
  <c r="AJ78" i="55"/>
  <c r="AF38" i="47"/>
  <c r="AJ240" i="55"/>
  <c r="AF59" i="47"/>
  <c r="AM28" i="55"/>
  <c r="AI127" i="47"/>
  <c r="AK36" i="55"/>
  <c r="AG133" i="47"/>
  <c r="AL32" i="55"/>
  <c r="AH131" i="47"/>
  <c r="AJ72" i="55"/>
  <c r="AF31" i="47"/>
  <c r="AF47" i="47"/>
  <c r="AJ155" i="55"/>
  <c r="AJ156" i="55"/>
  <c r="AF42" i="47"/>
  <c r="AK73" i="55"/>
  <c r="AG37" i="47"/>
  <c r="AJ160" i="55"/>
  <c r="AF50" i="47"/>
  <c r="AJ81" i="55"/>
  <c r="AF41" i="47"/>
  <c r="AG39" i="47"/>
  <c r="AK76" i="55"/>
  <c r="AF48" i="47"/>
  <c r="AJ157" i="55"/>
  <c r="AJ165" i="55"/>
  <c r="AF51" i="47"/>
  <c r="AL33" i="55"/>
  <c r="AH130" i="47"/>
  <c r="AK31" i="55"/>
  <c r="AG129" i="47"/>
  <c r="AK74" i="55"/>
  <c r="AG32" i="47"/>
  <c r="AF29" i="47"/>
  <c r="AJ198" i="55"/>
  <c r="AG33" i="47"/>
  <c r="AK79" i="55"/>
  <c r="AJ238" i="55"/>
  <c r="AF60" i="47"/>
  <c r="AK233" i="55"/>
  <c r="AG57" i="47"/>
  <c r="AF25" i="47"/>
  <c r="AJ197" i="55"/>
  <c r="AF18" i="47"/>
  <c r="AJ139" i="55"/>
  <c r="AJ163" i="55"/>
  <c r="AF44" i="47"/>
  <c r="AJ142" i="55"/>
  <c r="AF12" i="47"/>
  <c r="AK193" i="55"/>
  <c r="AG26" i="47"/>
  <c r="AF61" i="47"/>
  <c r="AJ243" i="55"/>
  <c r="AF15" i="47"/>
  <c r="AJ134" i="55"/>
  <c r="AF28" i="47"/>
  <c r="AJ200" i="55"/>
  <c r="AK161" i="55"/>
  <c r="AG45" i="47"/>
  <c r="AG36" i="47"/>
  <c r="AK71" i="55"/>
  <c r="AK241" i="55"/>
  <c r="AG54" i="47"/>
  <c r="AL37" i="55"/>
  <c r="AH134" i="47"/>
  <c r="AJ137" i="55"/>
  <c r="AF11" i="47"/>
  <c r="AJ203" i="55"/>
  <c r="AF30" i="47"/>
  <c r="AK196" i="55"/>
  <c r="AG22" i="47"/>
  <c r="AF27" i="47"/>
  <c r="AJ195" i="55"/>
  <c r="AH128" i="47"/>
  <c r="AL34" i="55"/>
  <c r="AF13" i="47"/>
  <c r="AJ140" i="55"/>
  <c r="AJ77" i="55"/>
  <c r="AF34" i="47"/>
  <c r="AJ151" i="55"/>
  <c r="AF20" i="47"/>
  <c r="AJ141" i="55"/>
  <c r="AF17" i="47"/>
  <c r="AF19" i="47"/>
  <c r="AJ144" i="55"/>
  <c r="AF53" i="47"/>
  <c r="AJ236" i="55"/>
  <c r="AJ158" i="55"/>
  <c r="AF43" i="47"/>
  <c r="AK162" i="55"/>
  <c r="AG49" i="47"/>
  <c r="AJ136" i="55"/>
  <c r="AF16" i="47"/>
  <c r="AF56" i="47"/>
  <c r="AJ237" i="55"/>
  <c r="AF132" i="47"/>
  <c r="AJ253" i="55"/>
  <c r="AJ235" i="55"/>
  <c r="AF58" i="47"/>
  <c r="AH36" i="47" l="1"/>
  <c r="AL71" i="55"/>
  <c r="AL79" i="55"/>
  <c r="AH33" i="47"/>
  <c r="AK157" i="55"/>
  <c r="AG48" i="47"/>
  <c r="AK155" i="55"/>
  <c r="AG47" i="47"/>
  <c r="AK142" i="55"/>
  <c r="AG12" i="47"/>
  <c r="AK78" i="55"/>
  <c r="AG38" i="47"/>
  <c r="AL201" i="55"/>
  <c r="AH23" i="47"/>
  <c r="AK195" i="55"/>
  <c r="AG27" i="47"/>
  <c r="AK141" i="55"/>
  <c r="AG17" i="47"/>
  <c r="AL196" i="55"/>
  <c r="AH22" i="47"/>
  <c r="AL161" i="55"/>
  <c r="AH45" i="47"/>
  <c r="AK163" i="55"/>
  <c r="AG44" i="47"/>
  <c r="AK72" i="55"/>
  <c r="AG31" i="47"/>
  <c r="AK199" i="55"/>
  <c r="AG24" i="47"/>
  <c r="AG52" i="47"/>
  <c r="AK234" i="55"/>
  <c r="AG28" i="47"/>
  <c r="AK200" i="55"/>
  <c r="AK139" i="55"/>
  <c r="AG18" i="47"/>
  <c r="AG56" i="47"/>
  <c r="AK237" i="55"/>
  <c r="AK203" i="55"/>
  <c r="AG30" i="47"/>
  <c r="AL74" i="55"/>
  <c r="AH32" i="47"/>
  <c r="AK81" i="55"/>
  <c r="AG41" i="47"/>
  <c r="AM32" i="55"/>
  <c r="AI131" i="47"/>
  <c r="AL194" i="55"/>
  <c r="AH21" i="47"/>
  <c r="AG14" i="47"/>
  <c r="AK138" i="55"/>
  <c r="AK197" i="55"/>
  <c r="AG25" i="47"/>
  <c r="AK253" i="55"/>
  <c r="AG132" i="47"/>
  <c r="AK151" i="55"/>
  <c r="AG20" i="47"/>
  <c r="AK77" i="55"/>
  <c r="AG34" i="47"/>
  <c r="AL31" i="55"/>
  <c r="AH129" i="47"/>
  <c r="AK160" i="55"/>
  <c r="AG50" i="47"/>
  <c r="AL36" i="55"/>
  <c r="AH133" i="47"/>
  <c r="AH55" i="47"/>
  <c r="AL239" i="55"/>
  <c r="AK159" i="55"/>
  <c r="AG46" i="47"/>
  <c r="AL162" i="55"/>
  <c r="AH49" i="47"/>
  <c r="AK137" i="55"/>
  <c r="AG11" i="47"/>
  <c r="AK140" i="55"/>
  <c r="AG13" i="47"/>
  <c r="AK243" i="55"/>
  <c r="AG61" i="47"/>
  <c r="AH135" i="47"/>
  <c r="AL27" i="55"/>
  <c r="AG29" i="47"/>
  <c r="AK198" i="55"/>
  <c r="AG43" i="47"/>
  <c r="AK158" i="55"/>
  <c r="AI134" i="47"/>
  <c r="AM37" i="55"/>
  <c r="AL233" i="55"/>
  <c r="AH57" i="47"/>
  <c r="AI130" i="47"/>
  <c r="AM33" i="55"/>
  <c r="AL73" i="55"/>
  <c r="AH37" i="47"/>
  <c r="AN28" i="55"/>
  <c r="AJ127" i="47"/>
  <c r="AL75" i="55"/>
  <c r="AH35" i="47"/>
  <c r="AL76" i="55"/>
  <c r="AH39" i="47"/>
  <c r="AK134" i="55"/>
  <c r="AG15" i="47"/>
  <c r="AG53" i="47"/>
  <c r="AK236" i="55"/>
  <c r="AM34" i="55"/>
  <c r="AI128" i="47"/>
  <c r="AK135" i="55"/>
  <c r="AG10" i="47"/>
  <c r="AL88" i="55"/>
  <c r="AH40" i="47"/>
  <c r="AK144" i="55"/>
  <c r="AG19" i="47"/>
  <c r="AG16" i="47"/>
  <c r="AK136" i="55"/>
  <c r="AK235" i="55"/>
  <c r="AG58" i="47"/>
  <c r="AL241" i="55"/>
  <c r="AH54" i="47"/>
  <c r="AL193" i="55"/>
  <c r="AH26" i="47"/>
  <c r="AK238" i="55"/>
  <c r="AG60" i="47"/>
  <c r="AK165" i="55"/>
  <c r="AG51" i="47"/>
  <c r="AG42" i="47"/>
  <c r="AK156" i="55"/>
  <c r="AK240" i="55"/>
  <c r="AG59" i="47"/>
  <c r="AL136" i="55" l="1"/>
  <c r="AH16" i="47"/>
  <c r="AL138" i="55"/>
  <c r="AH14" i="47"/>
  <c r="AH56" i="47"/>
  <c r="AL237" i="55"/>
  <c r="AL134" i="55"/>
  <c r="AH15" i="47"/>
  <c r="AI57" i="47"/>
  <c r="AM233" i="55"/>
  <c r="AL140" i="55"/>
  <c r="AH13" i="47"/>
  <c r="AL160" i="55"/>
  <c r="AH50" i="47"/>
  <c r="AL163" i="55"/>
  <c r="AH44" i="47"/>
  <c r="AL78" i="55"/>
  <c r="AH38" i="47"/>
  <c r="AL156" i="55"/>
  <c r="AH42" i="47"/>
  <c r="AL137" i="55"/>
  <c r="AH11" i="47"/>
  <c r="AI129" i="47"/>
  <c r="AM31" i="55"/>
  <c r="AI21" i="47"/>
  <c r="AM194" i="55"/>
  <c r="AL139" i="55"/>
  <c r="AH18" i="47"/>
  <c r="AI45" i="47"/>
  <c r="AM161" i="55"/>
  <c r="AL142" i="55"/>
  <c r="AH12" i="47"/>
  <c r="AL200" i="55"/>
  <c r="AH28" i="47"/>
  <c r="AL238" i="55"/>
  <c r="AH60" i="47"/>
  <c r="AI49" i="47"/>
  <c r="AM162" i="55"/>
  <c r="AL77" i="55"/>
  <c r="AH34" i="47"/>
  <c r="AN32" i="55"/>
  <c r="AJ131" i="47"/>
  <c r="AI22" i="47"/>
  <c r="AM196" i="55"/>
  <c r="AL155" i="55"/>
  <c r="AH47" i="47"/>
  <c r="AH52" i="47"/>
  <c r="AL234" i="55"/>
  <c r="AL198" i="55"/>
  <c r="AH29" i="47"/>
  <c r="AM193" i="55"/>
  <c r="AI26" i="47"/>
  <c r="AL135" i="55"/>
  <c r="AH10" i="47"/>
  <c r="AO28" i="55"/>
  <c r="AK127" i="47"/>
  <c r="AL159" i="55"/>
  <c r="AH46" i="47"/>
  <c r="AL151" i="55"/>
  <c r="AH20" i="47"/>
  <c r="AL81" i="55"/>
  <c r="AH41" i="47"/>
  <c r="AL141" i="55"/>
  <c r="AH17" i="47"/>
  <c r="AL157" i="55"/>
  <c r="AH48" i="47"/>
  <c r="AN37" i="55"/>
  <c r="AJ134" i="47"/>
  <c r="AL144" i="55"/>
  <c r="AH19" i="47"/>
  <c r="AI135" i="47"/>
  <c r="AM27" i="55"/>
  <c r="AI55" i="47"/>
  <c r="AM239" i="55"/>
  <c r="AM75" i="55"/>
  <c r="AI35" i="47"/>
  <c r="AI54" i="47"/>
  <c r="AM241" i="55"/>
  <c r="AN34" i="55"/>
  <c r="AJ128" i="47"/>
  <c r="AI37" i="47"/>
  <c r="AM73" i="55"/>
  <c r="AH132" i="47"/>
  <c r="AL253" i="55"/>
  <c r="AM74" i="55"/>
  <c r="AI32" i="47"/>
  <c r="AL199" i="55"/>
  <c r="AH24" i="47"/>
  <c r="AL195" i="55"/>
  <c r="AH27" i="47"/>
  <c r="AI33" i="47"/>
  <c r="AM79" i="55"/>
  <c r="AL165" i="55"/>
  <c r="AH51" i="47"/>
  <c r="AI39" i="47"/>
  <c r="AM76" i="55"/>
  <c r="AM88" i="55"/>
  <c r="AI40" i="47"/>
  <c r="AH53" i="47"/>
  <c r="AL236" i="55"/>
  <c r="AN33" i="55"/>
  <c r="AJ130" i="47"/>
  <c r="AM71" i="55"/>
  <c r="AI36" i="47"/>
  <c r="AL158" i="55"/>
  <c r="AH43" i="47"/>
  <c r="AL240" i="55"/>
  <c r="AH59" i="47"/>
  <c r="AL235" i="55"/>
  <c r="AH58" i="47"/>
  <c r="AL243" i="55"/>
  <c r="AH61" i="47"/>
  <c r="AM36" i="55"/>
  <c r="AI133" i="47"/>
  <c r="AL197" i="55"/>
  <c r="AH25" i="47"/>
  <c r="AL203" i="55"/>
  <c r="AH30" i="47"/>
  <c r="AL72" i="55"/>
  <c r="AH31" i="47"/>
  <c r="AI23" i="47"/>
  <c r="AM201" i="55"/>
  <c r="AI52" i="47" l="1"/>
  <c r="AM234" i="55"/>
  <c r="AJ129" i="47"/>
  <c r="AN31" i="55"/>
  <c r="AI132" i="47"/>
  <c r="AM253" i="55"/>
  <c r="AM144" i="55"/>
  <c r="AI19" i="47"/>
  <c r="AJ22" i="47"/>
  <c r="AN196" i="55"/>
  <c r="AM165" i="55"/>
  <c r="AI51" i="47"/>
  <c r="AK128" i="47"/>
  <c r="AO34" i="55"/>
  <c r="AP28" i="55"/>
  <c r="AM127" i="47" s="1"/>
  <c r="AL127" i="47"/>
  <c r="AI12" i="47"/>
  <c r="AM142" i="55"/>
  <c r="AI42" i="47"/>
  <c r="AM156" i="55"/>
  <c r="AI15" i="47"/>
  <c r="AM134" i="55"/>
  <c r="AM240" i="55"/>
  <c r="AI59" i="47"/>
  <c r="AM140" i="55"/>
  <c r="AI13" i="47"/>
  <c r="AI30" i="47"/>
  <c r="AM203" i="55"/>
  <c r="AI47" i="47"/>
  <c r="AM155" i="55"/>
  <c r="AN161" i="55"/>
  <c r="AJ45" i="47"/>
  <c r="AI56" i="47"/>
  <c r="AM237" i="55"/>
  <c r="AJ135" i="47"/>
  <c r="AN27" i="55"/>
  <c r="AM72" i="55"/>
  <c r="AI31" i="47"/>
  <c r="AM151" i="55"/>
  <c r="AI20" i="47"/>
  <c r="AJ37" i="47"/>
  <c r="AN73" i="55"/>
  <c r="AM158" i="55"/>
  <c r="AI43" i="47"/>
  <c r="AI11" i="47"/>
  <c r="AM137" i="55"/>
  <c r="AN79" i="55"/>
  <c r="AJ33" i="47"/>
  <c r="AM135" i="55"/>
  <c r="AI10" i="47"/>
  <c r="AO32" i="55"/>
  <c r="AK131" i="47"/>
  <c r="AM78" i="55"/>
  <c r="AI38" i="47"/>
  <c r="AM200" i="55"/>
  <c r="AI28" i="47"/>
  <c r="AJ133" i="47"/>
  <c r="AN36" i="55"/>
  <c r="AN76" i="55"/>
  <c r="AJ39" i="47"/>
  <c r="AM197" i="55"/>
  <c r="AI25" i="47"/>
  <c r="AO33" i="55"/>
  <c r="AK130" i="47"/>
  <c r="AI48" i="47"/>
  <c r="AM157" i="55"/>
  <c r="AI53" i="47"/>
  <c r="AM236" i="55"/>
  <c r="AM243" i="55"/>
  <c r="AI61" i="47"/>
  <c r="AM199" i="55"/>
  <c r="AI24" i="47"/>
  <c r="AN75" i="55"/>
  <c r="AJ35" i="47"/>
  <c r="AM141" i="55"/>
  <c r="AI17" i="47"/>
  <c r="AN193" i="55"/>
  <c r="AJ26" i="47"/>
  <c r="AI34" i="47"/>
  <c r="AM77" i="55"/>
  <c r="AM139" i="55"/>
  <c r="AI18" i="47"/>
  <c r="AM163" i="55"/>
  <c r="AI44" i="47"/>
  <c r="AM138" i="55"/>
  <c r="AI14" i="47"/>
  <c r="AJ57" i="47"/>
  <c r="AN233" i="55"/>
  <c r="AM159" i="55"/>
  <c r="AI46" i="47"/>
  <c r="AN71" i="55"/>
  <c r="AJ36" i="47"/>
  <c r="AJ55" i="47"/>
  <c r="AN239" i="55"/>
  <c r="AJ49" i="47"/>
  <c r="AN162" i="55"/>
  <c r="AJ21" i="47"/>
  <c r="AN194" i="55"/>
  <c r="AI60" i="47"/>
  <c r="AM238" i="55"/>
  <c r="AO37" i="55"/>
  <c r="AK134" i="47"/>
  <c r="AJ54" i="47"/>
  <c r="AN241" i="55"/>
  <c r="AM195" i="55"/>
  <c r="AI27" i="47"/>
  <c r="AJ23" i="47"/>
  <c r="AN201" i="55"/>
  <c r="AI58" i="47"/>
  <c r="AM235" i="55"/>
  <c r="AN88" i="55"/>
  <c r="AJ40" i="47"/>
  <c r="AN74" i="55"/>
  <c r="AJ32" i="47"/>
  <c r="AI41" i="47"/>
  <c r="AM81" i="55"/>
  <c r="AM198" i="55"/>
  <c r="AI29" i="47"/>
  <c r="AM160" i="55"/>
  <c r="AI50" i="47"/>
  <c r="AM136" i="55"/>
  <c r="AI16" i="47"/>
  <c r="AO162" i="55" l="1"/>
  <c r="AK49" i="47"/>
  <c r="AJ44" i="47"/>
  <c r="AN163" i="55"/>
  <c r="AN199" i="55"/>
  <c r="AJ24" i="47"/>
  <c r="AK39" i="47"/>
  <c r="AO76" i="55"/>
  <c r="AK33" i="47"/>
  <c r="AO79" i="55"/>
  <c r="AJ59" i="47"/>
  <c r="AN240" i="55"/>
  <c r="AN165" i="55"/>
  <c r="AJ51" i="47"/>
  <c r="AJ50" i="47"/>
  <c r="AN160" i="55"/>
  <c r="AO27" i="55"/>
  <c r="AK135" i="47"/>
  <c r="AJ34" i="47"/>
  <c r="AN77" i="55"/>
  <c r="AN236" i="55"/>
  <c r="AJ53" i="47"/>
  <c r="AJ42" i="47"/>
  <c r="AN156" i="55"/>
  <c r="AK55" i="47"/>
  <c r="AO239" i="55"/>
  <c r="AN137" i="55"/>
  <c r="AJ11" i="47"/>
  <c r="AO71" i="55"/>
  <c r="AK36" i="47"/>
  <c r="AN200" i="55"/>
  <c r="AJ28" i="47"/>
  <c r="AN158" i="55"/>
  <c r="AJ43" i="47"/>
  <c r="AO161" i="55"/>
  <c r="AK45" i="47"/>
  <c r="AN144" i="55"/>
  <c r="AJ19" i="47"/>
  <c r="AO36" i="55"/>
  <c r="AK133" i="47"/>
  <c r="AJ18" i="47"/>
  <c r="AN139" i="55"/>
  <c r="AJ48" i="47"/>
  <c r="AN157" i="55"/>
  <c r="AK37" i="47"/>
  <c r="AO73" i="55"/>
  <c r="AJ47" i="47"/>
  <c r="AN155" i="55"/>
  <c r="AN142" i="55"/>
  <c r="AJ12" i="47"/>
  <c r="AJ132" i="47"/>
  <c r="AN253" i="55"/>
  <c r="AO201" i="55"/>
  <c r="AK23" i="47"/>
  <c r="AK32" i="47"/>
  <c r="AO74" i="55"/>
  <c r="AP37" i="55"/>
  <c r="AM134" i="47" s="1"/>
  <c r="AL134" i="47"/>
  <c r="AN159" i="55"/>
  <c r="AJ46" i="47"/>
  <c r="AK26" i="47"/>
  <c r="AO193" i="55"/>
  <c r="AN78" i="55"/>
  <c r="AJ38" i="47"/>
  <c r="AK22" i="47"/>
  <c r="AO196" i="55"/>
  <c r="AN195" i="55"/>
  <c r="AJ27" i="47"/>
  <c r="AJ41" i="47"/>
  <c r="AN81" i="55"/>
  <c r="AJ60" i="47"/>
  <c r="AN238" i="55"/>
  <c r="AO233" i="55"/>
  <c r="AK57" i="47"/>
  <c r="AN203" i="55"/>
  <c r="AJ30" i="47"/>
  <c r="AK129" i="47"/>
  <c r="AO31" i="55"/>
  <c r="AN141" i="55"/>
  <c r="AJ17" i="47"/>
  <c r="AP33" i="55"/>
  <c r="AM130" i="47" s="1"/>
  <c r="AL130" i="47"/>
  <c r="AP32" i="55"/>
  <c r="AM131" i="47" s="1"/>
  <c r="AL131" i="47"/>
  <c r="AJ20" i="47"/>
  <c r="AN151" i="55"/>
  <c r="AJ15" i="47"/>
  <c r="AN134" i="55"/>
  <c r="AN198" i="55"/>
  <c r="AJ29" i="47"/>
  <c r="AK54" i="47"/>
  <c r="AO241" i="55"/>
  <c r="AP34" i="55"/>
  <c r="AM128" i="47" s="1"/>
  <c r="AL128" i="47"/>
  <c r="AJ52" i="47"/>
  <c r="AN234" i="55"/>
  <c r="AJ56" i="47"/>
  <c r="AN237" i="55"/>
  <c r="AN243" i="55"/>
  <c r="AJ61" i="47"/>
  <c r="AO88" i="55"/>
  <c r="AK40" i="47"/>
  <c r="AN235" i="55"/>
  <c r="AJ58" i="47"/>
  <c r="AK21" i="47"/>
  <c r="AO194" i="55"/>
  <c r="AJ16" i="47"/>
  <c r="AN136" i="55"/>
  <c r="AN138" i="55"/>
  <c r="AJ14" i="47"/>
  <c r="AO75" i="55"/>
  <c r="AK35" i="47"/>
  <c r="AN197" i="55"/>
  <c r="AJ25" i="47"/>
  <c r="AN135" i="55"/>
  <c r="AJ10" i="47"/>
  <c r="AJ31" i="47"/>
  <c r="AN72" i="55"/>
  <c r="AJ13" i="47"/>
  <c r="AN140" i="55"/>
  <c r="AO238" i="55" l="1"/>
  <c r="AK60" i="47"/>
  <c r="AK47" i="47"/>
  <c r="AO155" i="55"/>
  <c r="AK42" i="47"/>
  <c r="AO156" i="55"/>
  <c r="AK59" i="47"/>
  <c r="AO240" i="55"/>
  <c r="AL45" i="47"/>
  <c r="AP161" i="55"/>
  <c r="AM45" i="47" s="1"/>
  <c r="AK13" i="47"/>
  <c r="AO140" i="55"/>
  <c r="AL37" i="47"/>
  <c r="AP73" i="55"/>
  <c r="AM37" i="47" s="1"/>
  <c r="AP79" i="55"/>
  <c r="AM33" i="47" s="1"/>
  <c r="AL33" i="47"/>
  <c r="AO136" i="55"/>
  <c r="AK16" i="47"/>
  <c r="AK43" i="47"/>
  <c r="AO158" i="55"/>
  <c r="AO236" i="55"/>
  <c r="AK53" i="47"/>
  <c r="AL54" i="47"/>
  <c r="AP241" i="55"/>
  <c r="AM54" i="47" s="1"/>
  <c r="AL32" i="47"/>
  <c r="AP74" i="55"/>
  <c r="AM32" i="47" s="1"/>
  <c r="AK48" i="47"/>
  <c r="AO157" i="55"/>
  <c r="AO77" i="55"/>
  <c r="AK34" i="47"/>
  <c r="AP76" i="55"/>
  <c r="AM39" i="47" s="1"/>
  <c r="AL39" i="47"/>
  <c r="AO135" i="55"/>
  <c r="AK10" i="47"/>
  <c r="AO235" i="55"/>
  <c r="AK58" i="47"/>
  <c r="AO141" i="55"/>
  <c r="AK17" i="47"/>
  <c r="AO195" i="55"/>
  <c r="AK27" i="47"/>
  <c r="AK28" i="47"/>
  <c r="AO200" i="55"/>
  <c r="AP194" i="55"/>
  <c r="AM21" i="47" s="1"/>
  <c r="AL21" i="47"/>
  <c r="AP31" i="55"/>
  <c r="AM129" i="47" s="1"/>
  <c r="AL129" i="47"/>
  <c r="AP196" i="55"/>
  <c r="AM22" i="47" s="1"/>
  <c r="AL22" i="47"/>
  <c r="AO139" i="55"/>
  <c r="AK18" i="47"/>
  <c r="AK31" i="47"/>
  <c r="AO72" i="55"/>
  <c r="AP88" i="55"/>
  <c r="AM40" i="47" s="1"/>
  <c r="AL40" i="47"/>
  <c r="AP201" i="55"/>
  <c r="AM23" i="47" s="1"/>
  <c r="AL23" i="47"/>
  <c r="AL36" i="47"/>
  <c r="AP71" i="55"/>
  <c r="AM36" i="47" s="1"/>
  <c r="AP27" i="55"/>
  <c r="AM135" i="47" s="1"/>
  <c r="AL135" i="47"/>
  <c r="AO199" i="55"/>
  <c r="AK24" i="47"/>
  <c r="AO81" i="55"/>
  <c r="AK41" i="47"/>
  <c r="AO134" i="55"/>
  <c r="AK15" i="47"/>
  <c r="AO253" i="55"/>
  <c r="AK132" i="47"/>
  <c r="AO160" i="55"/>
  <c r="AK50" i="47"/>
  <c r="AO163" i="55"/>
  <c r="AK44" i="47"/>
  <c r="AK46" i="47"/>
  <c r="AO159" i="55"/>
  <c r="AO197" i="55"/>
  <c r="AK25" i="47"/>
  <c r="AO198" i="55"/>
  <c r="AK29" i="47"/>
  <c r="AP75" i="55"/>
  <c r="AM35" i="47" s="1"/>
  <c r="AL35" i="47"/>
  <c r="AK61" i="47"/>
  <c r="AO243" i="55"/>
  <c r="AO203" i="55"/>
  <c r="AK30" i="47"/>
  <c r="AO78" i="55"/>
  <c r="AK38" i="47"/>
  <c r="AL133" i="47"/>
  <c r="AP36" i="55"/>
  <c r="AM133" i="47" s="1"/>
  <c r="AO137" i="55"/>
  <c r="AK11" i="47"/>
  <c r="AO237" i="55"/>
  <c r="AK56" i="47"/>
  <c r="AO151" i="55"/>
  <c r="AK20" i="47"/>
  <c r="AP193" i="55"/>
  <c r="AM26" i="47" s="1"/>
  <c r="AL26" i="47"/>
  <c r="AP239" i="55"/>
  <c r="AM55" i="47" s="1"/>
  <c r="AL55" i="47"/>
  <c r="AO234" i="55"/>
  <c r="AK52" i="47"/>
  <c r="AK14" i="47"/>
  <c r="AO138" i="55"/>
  <c r="AP233" i="55"/>
  <c r="AM57" i="47" s="1"/>
  <c r="AL57" i="47"/>
  <c r="AO142" i="55"/>
  <c r="AK12" i="47"/>
  <c r="AO144" i="55"/>
  <c r="AK19" i="47"/>
  <c r="AO165" i="55"/>
  <c r="AK51" i="47"/>
  <c r="AL49" i="47"/>
  <c r="AP162" i="55"/>
  <c r="AM49" i="47" s="1"/>
  <c r="AL58" i="47" l="1"/>
  <c r="AP235" i="55"/>
  <c r="AM58" i="47" s="1"/>
  <c r="AL61" i="47"/>
  <c r="AP243" i="55"/>
  <c r="AM61" i="47" s="1"/>
  <c r="AP142" i="55"/>
  <c r="AM12" i="47" s="1"/>
  <c r="AL12" i="47"/>
  <c r="AL20" i="47"/>
  <c r="AP151" i="55"/>
  <c r="AM20" i="47" s="1"/>
  <c r="AP160" i="55"/>
  <c r="AM50" i="47" s="1"/>
  <c r="AL50" i="47"/>
  <c r="AP135" i="55"/>
  <c r="AM10" i="47" s="1"/>
  <c r="AL10" i="47"/>
  <c r="AP236" i="55"/>
  <c r="AM53" i="47" s="1"/>
  <c r="AL53" i="47"/>
  <c r="AL44" i="47"/>
  <c r="AP163" i="55"/>
  <c r="AM44" i="47" s="1"/>
  <c r="AP158" i="55"/>
  <c r="AM43" i="47" s="1"/>
  <c r="AL43" i="47"/>
  <c r="AP240" i="55"/>
  <c r="AM59" i="47" s="1"/>
  <c r="AL59" i="47"/>
  <c r="AP203" i="55"/>
  <c r="AM30" i="47" s="1"/>
  <c r="AL30" i="47"/>
  <c r="AP237" i="55"/>
  <c r="AM56" i="47" s="1"/>
  <c r="AL56" i="47"/>
  <c r="AP253" i="55"/>
  <c r="AM132" i="47" s="1"/>
  <c r="AL132" i="47"/>
  <c r="AL28" i="47"/>
  <c r="AP200" i="55"/>
  <c r="AM28" i="47" s="1"/>
  <c r="AP156" i="55"/>
  <c r="AM42" i="47" s="1"/>
  <c r="AL42" i="47"/>
  <c r="AP140" i="55"/>
  <c r="AM13" i="47" s="1"/>
  <c r="AL13" i="47"/>
  <c r="AL15" i="47"/>
  <c r="AP134" i="55"/>
  <c r="AM15" i="47" s="1"/>
  <c r="AP77" i="55"/>
  <c r="AM34" i="47" s="1"/>
  <c r="AL34" i="47"/>
  <c r="AP136" i="55"/>
  <c r="AM16" i="47" s="1"/>
  <c r="AL16" i="47"/>
  <c r="AP72" i="55"/>
  <c r="AM31" i="47" s="1"/>
  <c r="AL31" i="47"/>
  <c r="AP157" i="55"/>
  <c r="AM48" i="47" s="1"/>
  <c r="AL48" i="47"/>
  <c r="AL47" i="47"/>
  <c r="AP155" i="55"/>
  <c r="AM47" i="47" s="1"/>
  <c r="AL19" i="47"/>
  <c r="AP144" i="55"/>
  <c r="AM19" i="47" s="1"/>
  <c r="AL52" i="47"/>
  <c r="AP234" i="55"/>
  <c r="AM52" i="47" s="1"/>
  <c r="AP197" i="55"/>
  <c r="AM25" i="47" s="1"/>
  <c r="AL25" i="47"/>
  <c r="AP81" i="55"/>
  <c r="AM41" i="47" s="1"/>
  <c r="AL41" i="47"/>
  <c r="AP195" i="55"/>
  <c r="AM27" i="47" s="1"/>
  <c r="AL27" i="47"/>
  <c r="AL14" i="47"/>
  <c r="AP138" i="55"/>
  <c r="AM14" i="47" s="1"/>
  <c r="AP137" i="55"/>
  <c r="AM11" i="47" s="1"/>
  <c r="AL11" i="47"/>
  <c r="AL46" i="47"/>
  <c r="AP159" i="55"/>
  <c r="AM46" i="47" s="1"/>
  <c r="AP198" i="55"/>
  <c r="AM29" i="47" s="1"/>
  <c r="AL29" i="47"/>
  <c r="AP165" i="55"/>
  <c r="AM51" i="47" s="1"/>
  <c r="AL51" i="47"/>
  <c r="AP78" i="55"/>
  <c r="AM38" i="47" s="1"/>
  <c r="AL38" i="47"/>
  <c r="AP199" i="55"/>
  <c r="AM24" i="47" s="1"/>
  <c r="AL24" i="47"/>
  <c r="AP139" i="55"/>
  <c r="AM18" i="47" s="1"/>
  <c r="AL18" i="47"/>
  <c r="AL17" i="47"/>
  <c r="AP141" i="55"/>
  <c r="AM17" i="47" s="1"/>
  <c r="AL60" i="47"/>
  <c r="AP238" i="55"/>
  <c r="AM60" i="47" s="1"/>
  <c r="M23" i="53" l="1"/>
  <c r="M30" i="53" s="1"/>
  <c r="L23" i="53" l="1"/>
  <c r="L30" i="53" s="1"/>
  <c r="K23" i="53" l="1"/>
  <c r="K30" i="53" s="1"/>
  <c r="J23" i="53" l="1"/>
  <c r="J30" i="53" s="1"/>
  <c r="J31" i="53" l="1"/>
  <c r="J34" i="53" s="1"/>
  <c r="J35" i="53" s="1"/>
  <c r="L31" i="53"/>
  <c r="L34" i="53" s="1"/>
  <c r="L35" i="53" s="1"/>
  <c r="M31" i="53"/>
  <c r="M34" i="53" s="1"/>
  <c r="M35" i="53" s="1"/>
  <c r="B20" i="53"/>
  <c r="O23" i="53" l="1"/>
  <c r="P23" i="53" s="1"/>
  <c r="Q23" i="53" s="1"/>
  <c r="R23" i="53" s="1"/>
  <c r="S23" i="53" s="1"/>
  <c r="T23" i="53" s="1"/>
  <c r="U23" i="53" s="1"/>
  <c r="V23" i="53" s="1"/>
  <c r="W23" i="53" s="1"/>
  <c r="X23" i="53" s="1"/>
  <c r="Y23" i="53" s="1"/>
  <c r="Z23" i="53" s="1"/>
  <c r="AA23" i="53" s="1"/>
  <c r="AB23" i="53" s="1"/>
  <c r="AC23" i="53" s="1"/>
  <c r="AD23" i="53" s="1"/>
  <c r="AE23" i="53" s="1"/>
  <c r="AF23" i="53" s="1"/>
  <c r="AG23" i="53" s="1"/>
  <c r="AH23" i="53" s="1"/>
  <c r="AI23" i="53" s="1"/>
  <c r="AJ23" i="53" s="1"/>
  <c r="AK23" i="53" s="1"/>
  <c r="AL23" i="53" s="1"/>
  <c r="AM23" i="53" s="1"/>
  <c r="AN23" i="53" s="1"/>
  <c r="AO23" i="53" s="1"/>
  <c r="AP23" i="53" s="1"/>
  <c r="AQ23" i="53" s="1"/>
  <c r="AR23" i="53" s="1"/>
  <c r="AS23" i="53" s="1"/>
  <c r="AT23" i="53" s="1"/>
  <c r="AU23" i="53" s="1"/>
  <c r="M168" i="53"/>
  <c r="M169" i="53"/>
  <c r="M36" i="53"/>
  <c r="K31" i="53"/>
  <c r="K34" i="53" s="1"/>
  <c r="K35" i="53" s="1"/>
  <c r="L168" i="53"/>
  <c r="L169" i="53"/>
  <c r="L36" i="53"/>
  <c r="J36" i="53"/>
  <c r="J49" i="53" s="1"/>
  <c r="J168" i="53"/>
  <c r="J169" i="53"/>
  <c r="J180" i="53" l="1"/>
  <c r="J181" i="53"/>
  <c r="J53" i="53"/>
  <c r="N31" i="53"/>
  <c r="N34" i="53" s="1"/>
  <c r="N35" i="53" s="1"/>
  <c r="K36" i="53"/>
  <c r="K41" i="53" s="1"/>
  <c r="K168" i="53"/>
  <c r="K169" i="53"/>
  <c r="M41" i="53"/>
  <c r="Q30" i="53" l="1"/>
  <c r="S30" i="53"/>
  <c r="U30" i="53"/>
  <c r="W30" i="53"/>
  <c r="Y30" i="53"/>
  <c r="AA30" i="53"/>
  <c r="AC30" i="53"/>
  <c r="AE30" i="53"/>
  <c r="AG30" i="53"/>
  <c r="AI30" i="53"/>
  <c r="AK30" i="53"/>
  <c r="AM30" i="53"/>
  <c r="AO30" i="53"/>
  <c r="AQ30" i="53"/>
  <c r="AS30" i="53"/>
  <c r="AU30" i="53"/>
  <c r="P30" i="53"/>
  <c r="R30" i="53"/>
  <c r="T30" i="53"/>
  <c r="V30" i="53"/>
  <c r="X30" i="53"/>
  <c r="Z30" i="53"/>
  <c r="AB30" i="53"/>
  <c r="AD30" i="53"/>
  <c r="AF30" i="53"/>
  <c r="AH30" i="53"/>
  <c r="AJ30" i="53"/>
  <c r="AL30" i="53"/>
  <c r="AN30" i="53"/>
  <c r="AP30" i="53"/>
  <c r="AR30" i="53"/>
  <c r="AT30" i="53"/>
  <c r="AV30" i="53"/>
  <c r="O30" i="53"/>
  <c r="N24" i="53"/>
  <c r="M24" i="53" s="1"/>
  <c r="L24" i="53" s="1"/>
  <c r="K24" i="53" s="1"/>
  <c r="J24" i="53" s="1"/>
  <c r="K46" i="53"/>
  <c r="K52" i="53" s="1"/>
  <c r="K44" i="53"/>
  <c r="K50" i="53" s="1"/>
  <c r="K45" i="53"/>
  <c r="K51" i="53" s="1"/>
  <c r="K43" i="53"/>
  <c r="K49" i="53" s="1"/>
  <c r="N169" i="53"/>
  <c r="N168" i="53"/>
  <c r="M44" i="53"/>
  <c r="M45" i="53"/>
  <c r="M43" i="53"/>
  <c r="M46" i="53"/>
  <c r="L41" i="53"/>
  <c r="N36" i="53"/>
  <c r="N41" i="53" s="1"/>
  <c r="O31" i="53"/>
  <c r="O34" i="53" s="1"/>
  <c r="P24" i="53"/>
  <c r="O35" i="53" l="1"/>
  <c r="O36" i="53" s="1"/>
  <c r="O41" i="53" s="1"/>
  <c r="O43" i="53" s="1"/>
  <c r="P31" i="53"/>
  <c r="P34" i="53" s="1"/>
  <c r="P35" i="53" s="1"/>
  <c r="P36" i="53" s="1"/>
  <c r="K203" i="53"/>
  <c r="K204" i="53"/>
  <c r="K214" i="53"/>
  <c r="K215" i="53"/>
  <c r="O44" i="53"/>
  <c r="N46" i="53"/>
  <c r="N43" i="53"/>
  <c r="N45" i="53"/>
  <c r="N44" i="53"/>
  <c r="L46" i="53"/>
  <c r="L52" i="53" s="1"/>
  <c r="L45" i="53"/>
  <c r="L51" i="53" s="1"/>
  <c r="L44" i="53"/>
  <c r="L50" i="53" s="1"/>
  <c r="M50" i="53" s="1"/>
  <c r="L43" i="53"/>
  <c r="L49" i="53" s="1"/>
  <c r="M49" i="53" s="1"/>
  <c r="K181" i="53"/>
  <c r="K180" i="53"/>
  <c r="K53" i="53"/>
  <c r="K192" i="53"/>
  <c r="K193" i="53"/>
  <c r="O169" i="53" l="1"/>
  <c r="O45" i="53"/>
  <c r="O168" i="53"/>
  <c r="P41" i="53"/>
  <c r="P45" i="53" s="1"/>
  <c r="O46" i="53"/>
  <c r="K226" i="53"/>
  <c r="K264" i="53" s="1"/>
  <c r="H119" i="47" s="1"/>
  <c r="K227" i="53"/>
  <c r="K265" i="53" s="1"/>
  <c r="H125" i="47" s="1"/>
  <c r="M180" i="53"/>
  <c r="M181" i="53"/>
  <c r="P46" i="53"/>
  <c r="L192" i="53"/>
  <c r="L193" i="53"/>
  <c r="L214" i="53"/>
  <c r="L215" i="53"/>
  <c r="Q24" i="53"/>
  <c r="M52" i="53"/>
  <c r="N52" i="53" s="1"/>
  <c r="O52" i="53" s="1"/>
  <c r="M192" i="53"/>
  <c r="M193" i="53"/>
  <c r="L180" i="53"/>
  <c r="L181" i="53"/>
  <c r="L53" i="53"/>
  <c r="L204" i="53"/>
  <c r="L203" i="53"/>
  <c r="N50" i="53"/>
  <c r="O50" i="53" s="1"/>
  <c r="N49" i="53"/>
  <c r="M51" i="53"/>
  <c r="Q31" i="53"/>
  <c r="Q34" i="53" s="1"/>
  <c r="Q35" i="53" s="1"/>
  <c r="P168" i="53"/>
  <c r="P169" i="53"/>
  <c r="P44" i="53" l="1"/>
  <c r="P43" i="53"/>
  <c r="M53" i="53"/>
  <c r="L226" i="53"/>
  <c r="L264" i="53" s="1"/>
  <c r="I119" i="47" s="1"/>
  <c r="R31" i="53"/>
  <c r="R34" i="53" s="1"/>
  <c r="R35" i="53" s="1"/>
  <c r="R36" i="53" s="1"/>
  <c r="Q168" i="53"/>
  <c r="Q169" i="53"/>
  <c r="O193" i="53"/>
  <c r="P50" i="53"/>
  <c r="O192" i="53"/>
  <c r="N181" i="53"/>
  <c r="N180" i="53"/>
  <c r="R24" i="53"/>
  <c r="N214" i="53"/>
  <c r="N215" i="53"/>
  <c r="L227" i="53"/>
  <c r="L265" i="53" s="1"/>
  <c r="I125" i="47" s="1"/>
  <c r="Q36" i="53"/>
  <c r="Q41" i="53" s="1"/>
  <c r="M203" i="53"/>
  <c r="M204" i="53"/>
  <c r="O214" i="53"/>
  <c r="O215" i="53"/>
  <c r="P52" i="53"/>
  <c r="N192" i="53"/>
  <c r="N193" i="53"/>
  <c r="M215" i="53"/>
  <c r="M227" i="53" s="1"/>
  <c r="M265" i="53" s="1"/>
  <c r="J125" i="47" s="1"/>
  <c r="M214" i="53"/>
  <c r="O49" i="53"/>
  <c r="N51" i="53"/>
  <c r="S24" i="53" l="1"/>
  <c r="M226" i="53"/>
  <c r="M264" i="53" s="1"/>
  <c r="J119" i="47" s="1"/>
  <c r="O181" i="53"/>
  <c r="P49" i="53"/>
  <c r="O180" i="53"/>
  <c r="P215" i="53"/>
  <c r="P214" i="53"/>
  <c r="R41" i="53"/>
  <c r="N204" i="53"/>
  <c r="N227" i="53" s="1"/>
  <c r="N265" i="53" s="1"/>
  <c r="K125" i="47" s="1"/>
  <c r="N203" i="53"/>
  <c r="N226" i="53" s="1"/>
  <c r="N264" i="53" s="1"/>
  <c r="K119" i="47" s="1"/>
  <c r="O51" i="53"/>
  <c r="Q46" i="53"/>
  <c r="Q52" i="53" s="1"/>
  <c r="Q44" i="53"/>
  <c r="Q50" i="53" s="1"/>
  <c r="Q43" i="53"/>
  <c r="Q45" i="53"/>
  <c r="N53" i="53"/>
  <c r="P192" i="53"/>
  <c r="P193" i="53"/>
  <c r="S31" i="53"/>
  <c r="S34" i="53" s="1"/>
  <c r="S35" i="53" s="1"/>
  <c r="S36" i="53" s="1"/>
  <c r="S41" i="53" s="1"/>
  <c r="R169" i="53"/>
  <c r="R168" i="53"/>
  <c r="T24" i="53" l="1"/>
  <c r="U24" i="53" s="1"/>
  <c r="Q215" i="53"/>
  <c r="Q214" i="53"/>
  <c r="T31" i="53"/>
  <c r="T34" i="53" s="1"/>
  <c r="T35" i="53" s="1"/>
  <c r="T36" i="53" s="1"/>
  <c r="T41" i="53" s="1"/>
  <c r="S169" i="53"/>
  <c r="S168" i="53"/>
  <c r="P51" i="53"/>
  <c r="O204" i="53"/>
  <c r="O227" i="53" s="1"/>
  <c r="O265" i="53" s="1"/>
  <c r="L125" i="47" s="1"/>
  <c r="O203" i="53"/>
  <c r="O226" i="53" s="1"/>
  <c r="O264" i="53" s="1"/>
  <c r="L119" i="47" s="1"/>
  <c r="P180" i="53"/>
  <c r="P53" i="53"/>
  <c r="Q49" i="53"/>
  <c r="P181" i="53"/>
  <c r="S45" i="53"/>
  <c r="S46" i="53"/>
  <c r="S43" i="53"/>
  <c r="S44" i="53"/>
  <c r="Q193" i="53"/>
  <c r="Q192" i="53"/>
  <c r="R43" i="53"/>
  <c r="R45" i="53"/>
  <c r="R46" i="53"/>
  <c r="R52" i="53" s="1"/>
  <c r="R44" i="53"/>
  <c r="R50" i="53" s="1"/>
  <c r="O53" i="53"/>
  <c r="R49" i="53" l="1"/>
  <c r="R180" i="53" s="1"/>
  <c r="R192" i="53"/>
  <c r="R193" i="53"/>
  <c r="S50" i="53"/>
  <c r="R214" i="53"/>
  <c r="S52" i="53"/>
  <c r="R215" i="53"/>
  <c r="P203" i="53"/>
  <c r="P226" i="53" s="1"/>
  <c r="P264" i="53" s="1"/>
  <c r="M119" i="47" s="1"/>
  <c r="P204" i="53"/>
  <c r="P227" i="53" s="1"/>
  <c r="P265" i="53" s="1"/>
  <c r="M125" i="47" s="1"/>
  <c r="Q51" i="53"/>
  <c r="Q53" i="53" s="1"/>
  <c r="U31" i="53"/>
  <c r="U34" i="53" s="1"/>
  <c r="U35" i="53" s="1"/>
  <c r="U36" i="53" s="1"/>
  <c r="U41" i="53" s="1"/>
  <c r="T169" i="53"/>
  <c r="T168" i="53"/>
  <c r="Q180" i="53"/>
  <c r="Q181" i="53"/>
  <c r="T44" i="53"/>
  <c r="T45" i="53"/>
  <c r="T43" i="53"/>
  <c r="T46" i="53"/>
  <c r="F62" i="53"/>
  <c r="D62" i="53" s="1"/>
  <c r="E98" i="53" s="1"/>
  <c r="S49" i="53" l="1"/>
  <c r="T49" i="53" s="1"/>
  <c r="T181" i="53" s="1"/>
  <c r="R181" i="53"/>
  <c r="V31" i="53"/>
  <c r="V34" i="53" s="1"/>
  <c r="V35" i="53" s="1"/>
  <c r="U169" i="53"/>
  <c r="U168" i="53"/>
  <c r="S181" i="53"/>
  <c r="V24" i="53"/>
  <c r="U43" i="53"/>
  <c r="U44" i="53"/>
  <c r="U45" i="53"/>
  <c r="U46" i="53"/>
  <c r="Q204" i="53"/>
  <c r="Q227" i="53" s="1"/>
  <c r="Q265" i="53" s="1"/>
  <c r="N125" i="47" s="1"/>
  <c r="R51" i="53"/>
  <c r="Q203" i="53"/>
  <c r="Q226" i="53" s="1"/>
  <c r="Q264" i="53" s="1"/>
  <c r="N119" i="47" s="1"/>
  <c r="S214" i="53"/>
  <c r="T52" i="53"/>
  <c r="S215" i="53"/>
  <c r="S192" i="53"/>
  <c r="S193" i="53"/>
  <c r="T50" i="53"/>
  <c r="F64" i="53"/>
  <c r="D64" i="53" s="1"/>
  <c r="E78" i="53" s="1"/>
  <c r="F60" i="53"/>
  <c r="D60" i="53" s="1"/>
  <c r="E74" i="53" s="1"/>
  <c r="F63" i="53"/>
  <c r="D63" i="53" s="1"/>
  <c r="E99" i="53" s="1"/>
  <c r="F58" i="53"/>
  <c r="D58" i="53" s="1"/>
  <c r="E72" i="53" s="1"/>
  <c r="J98" i="53"/>
  <c r="J157" i="53" s="1"/>
  <c r="J239" i="53" s="1"/>
  <c r="J254" i="53" s="1"/>
  <c r="G110" i="47" s="1"/>
  <c r="F61" i="53"/>
  <c r="D61" i="53" s="1"/>
  <c r="E75" i="53" s="1"/>
  <c r="F57" i="53"/>
  <c r="D57" i="53" s="1"/>
  <c r="E71" i="53" s="1"/>
  <c r="U49" i="53" l="1"/>
  <c r="U180" i="53" s="1"/>
  <c r="S180" i="53"/>
  <c r="T180" i="53"/>
  <c r="U181" i="53"/>
  <c r="W31" i="53"/>
  <c r="W34" i="53" s="1"/>
  <c r="W35" i="53" s="1"/>
  <c r="W36" i="53" s="1"/>
  <c r="V168" i="53"/>
  <c r="V169" i="53"/>
  <c r="T192" i="53"/>
  <c r="T193" i="53"/>
  <c r="U50" i="53"/>
  <c r="T215" i="53"/>
  <c r="U52" i="53"/>
  <c r="T214" i="53"/>
  <c r="R204" i="53"/>
  <c r="R227" i="53" s="1"/>
  <c r="R265" i="53" s="1"/>
  <c r="O125" i="47" s="1"/>
  <c r="R203" i="53"/>
  <c r="R226" i="53" s="1"/>
  <c r="R264" i="53" s="1"/>
  <c r="O119" i="47" s="1"/>
  <c r="S51" i="53"/>
  <c r="R53" i="53"/>
  <c r="W24" i="53"/>
  <c r="X24" i="53" s="1"/>
  <c r="V36" i="53"/>
  <c r="V41" i="53" s="1"/>
  <c r="J71" i="53"/>
  <c r="J163" i="53" s="1"/>
  <c r="E82" i="53"/>
  <c r="E86" i="53"/>
  <c r="J75" i="53"/>
  <c r="J167" i="53" s="1"/>
  <c r="E83" i="53"/>
  <c r="J72" i="53"/>
  <c r="J164" i="53" s="1"/>
  <c r="J99" i="53"/>
  <c r="J158" i="53" s="1"/>
  <c r="J240" i="53" s="1"/>
  <c r="J255" i="53" s="1"/>
  <c r="G116" i="47" s="1"/>
  <c r="E85" i="53"/>
  <c r="J74" i="53"/>
  <c r="E89" i="53"/>
  <c r="J78" i="53"/>
  <c r="J170" i="53" s="1"/>
  <c r="F56" i="53"/>
  <c r="D56" i="53" s="1"/>
  <c r="E70" i="53" s="1"/>
  <c r="F59" i="53"/>
  <c r="D59" i="53" s="1"/>
  <c r="E73" i="53" s="1"/>
  <c r="W41" i="53" l="1"/>
  <c r="W43" i="53" s="1"/>
  <c r="U192" i="53"/>
  <c r="U193" i="53"/>
  <c r="V46" i="53"/>
  <c r="V52" i="53" s="1"/>
  <c r="V43" i="53"/>
  <c r="V49" i="53" s="1"/>
  <c r="V45" i="53"/>
  <c r="V44" i="53"/>
  <c r="V50" i="53" s="1"/>
  <c r="S203" i="53"/>
  <c r="S226" i="53" s="1"/>
  <c r="S264" i="53" s="1"/>
  <c r="P119" i="47" s="1"/>
  <c r="S204" i="53"/>
  <c r="S227" i="53" s="1"/>
  <c r="S265" i="53" s="1"/>
  <c r="P125" i="47" s="1"/>
  <c r="T51" i="53"/>
  <c r="S53" i="53"/>
  <c r="U214" i="53"/>
  <c r="U215" i="53"/>
  <c r="X31" i="53"/>
  <c r="X34" i="53" s="1"/>
  <c r="X35" i="53" s="1"/>
  <c r="X36" i="53" s="1"/>
  <c r="X41" i="53" s="1"/>
  <c r="W169" i="53"/>
  <c r="W168" i="53"/>
  <c r="J166" i="53"/>
  <c r="E97" i="53"/>
  <c r="J86" i="53"/>
  <c r="E84" i="53"/>
  <c r="J73" i="53"/>
  <c r="J165" i="53" s="1"/>
  <c r="J70" i="53"/>
  <c r="J162" i="53" s="1"/>
  <c r="E81" i="53"/>
  <c r="J89" i="53"/>
  <c r="E100" i="53"/>
  <c r="E96" i="53"/>
  <c r="J85" i="53"/>
  <c r="E94" i="53"/>
  <c r="J83" i="53"/>
  <c r="E93" i="53"/>
  <c r="J82" i="53"/>
  <c r="W44" i="53" l="1"/>
  <c r="W45" i="53"/>
  <c r="W46" i="53"/>
  <c r="W52" i="53" s="1"/>
  <c r="V193" i="53"/>
  <c r="W50" i="53"/>
  <c r="V192" i="53"/>
  <c r="Y31" i="53"/>
  <c r="Y34" i="53" s="1"/>
  <c r="Y35" i="53" s="1"/>
  <c r="Y36" i="53" s="1"/>
  <c r="Y41" i="53" s="1"/>
  <c r="X169" i="53"/>
  <c r="X168" i="53"/>
  <c r="V214" i="53"/>
  <c r="V215" i="53"/>
  <c r="V181" i="53"/>
  <c r="V180" i="53"/>
  <c r="X45" i="53"/>
  <c r="X43" i="53"/>
  <c r="X46" i="53"/>
  <c r="X44" i="53"/>
  <c r="T204" i="53"/>
  <c r="T227" i="53" s="1"/>
  <c r="T265" i="53" s="1"/>
  <c r="Q125" i="47" s="1"/>
  <c r="T203" i="53"/>
  <c r="T226" i="53" s="1"/>
  <c r="T264" i="53" s="1"/>
  <c r="Q119" i="47" s="1"/>
  <c r="U51" i="53"/>
  <c r="T53" i="53"/>
  <c r="Y24" i="53"/>
  <c r="W49" i="53"/>
  <c r="J93" i="53"/>
  <c r="J152" i="53" s="1"/>
  <c r="J100" i="53"/>
  <c r="J159" i="53" s="1"/>
  <c r="E95" i="53"/>
  <c r="J84" i="53"/>
  <c r="J179" i="53"/>
  <c r="J202" i="53"/>
  <c r="J191" i="53"/>
  <c r="J213" i="53"/>
  <c r="J175" i="53"/>
  <c r="J198" i="53"/>
  <c r="J209" i="53"/>
  <c r="J187" i="53"/>
  <c r="J199" i="53"/>
  <c r="J176" i="53"/>
  <c r="J210" i="53"/>
  <c r="J188" i="53"/>
  <c r="J94" i="53"/>
  <c r="J153" i="53" s="1"/>
  <c r="J178" i="53"/>
  <c r="J190" i="53"/>
  <c r="J201" i="53"/>
  <c r="J212" i="53"/>
  <c r="J96" i="53"/>
  <c r="J155" i="53" s="1"/>
  <c r="J182" i="53"/>
  <c r="J194" i="53"/>
  <c r="J205" i="53"/>
  <c r="J216" i="53"/>
  <c r="E92" i="53"/>
  <c r="J81" i="53"/>
  <c r="J97" i="53"/>
  <c r="J156" i="53" s="1"/>
  <c r="Z24" i="53" l="1"/>
  <c r="AA24" i="53" s="1"/>
  <c r="J234" i="53"/>
  <c r="J249" i="53" s="1"/>
  <c r="G111" i="47" s="1"/>
  <c r="X50" i="53"/>
  <c r="X193" i="53" s="1"/>
  <c r="J237" i="53"/>
  <c r="J252" i="53" s="1"/>
  <c r="G115" i="47" s="1"/>
  <c r="W180" i="53"/>
  <c r="W181" i="53"/>
  <c r="X49" i="53"/>
  <c r="W215" i="53"/>
  <c r="W214" i="53"/>
  <c r="X52" i="53"/>
  <c r="Z31" i="53"/>
  <c r="Z34" i="53" s="1"/>
  <c r="Z35" i="53" s="1"/>
  <c r="Z36" i="53" s="1"/>
  <c r="Z41" i="53" s="1"/>
  <c r="Y169" i="53"/>
  <c r="Y168" i="53"/>
  <c r="W193" i="53"/>
  <c r="W192" i="53"/>
  <c r="U204" i="53"/>
  <c r="U227" i="53" s="1"/>
  <c r="U265" i="53" s="1"/>
  <c r="R125" i="47" s="1"/>
  <c r="U203" i="53"/>
  <c r="U226" i="53" s="1"/>
  <c r="U264" i="53" s="1"/>
  <c r="R119" i="47" s="1"/>
  <c r="V51" i="53"/>
  <c r="U53" i="53"/>
  <c r="Y44" i="53"/>
  <c r="Y46" i="53"/>
  <c r="Y45" i="53"/>
  <c r="Y43" i="53"/>
  <c r="J92" i="53"/>
  <c r="J151" i="53" s="1"/>
  <c r="J225" i="53"/>
  <c r="J263" i="53" s="1"/>
  <c r="G126" i="47" s="1"/>
  <c r="J238" i="53"/>
  <c r="J253" i="53" s="1"/>
  <c r="G117" i="47" s="1"/>
  <c r="J200" i="53"/>
  <c r="J211" i="53"/>
  <c r="J177" i="53"/>
  <c r="J189" i="53"/>
  <c r="J95" i="53"/>
  <c r="J154" i="53" s="1"/>
  <c r="J241" i="53"/>
  <c r="J256" i="53" s="1"/>
  <c r="G114" i="47" s="1"/>
  <c r="J174" i="53"/>
  <c r="J186" i="53"/>
  <c r="J197" i="53"/>
  <c r="J208" i="53"/>
  <c r="J228" i="53"/>
  <c r="J266" i="53" s="1"/>
  <c r="G123" i="47" s="1"/>
  <c r="J224" i="53"/>
  <c r="J262" i="53" s="1"/>
  <c r="G124" i="47" s="1"/>
  <c r="J222" i="53"/>
  <c r="J260" i="53" s="1"/>
  <c r="G121" i="47" s="1"/>
  <c r="J235" i="53"/>
  <c r="J250" i="53" s="1"/>
  <c r="G112" i="47" s="1"/>
  <c r="J221" i="53"/>
  <c r="J259" i="53" s="1"/>
  <c r="G120" i="47" s="1"/>
  <c r="X192" i="53" l="1"/>
  <c r="Y50" i="53"/>
  <c r="Y193" i="53" s="1"/>
  <c r="J233" i="53"/>
  <c r="J248" i="53" s="1"/>
  <c r="G109" i="47" s="1"/>
  <c r="Y49" i="53"/>
  <c r="Y181" i="53" s="1"/>
  <c r="Z45" i="53"/>
  <c r="Z44" i="53"/>
  <c r="Z43" i="53"/>
  <c r="Z46" i="53"/>
  <c r="X215" i="53"/>
  <c r="X214" i="53"/>
  <c r="Y52" i="53"/>
  <c r="J236" i="53"/>
  <c r="J251" i="53" s="1"/>
  <c r="G113" i="47" s="1"/>
  <c r="V204" i="53"/>
  <c r="V227" i="53" s="1"/>
  <c r="V265" i="53" s="1"/>
  <c r="S125" i="47" s="1"/>
  <c r="W51" i="53"/>
  <c r="V203" i="53"/>
  <c r="V226" i="53" s="1"/>
  <c r="V264" i="53" s="1"/>
  <c r="S119" i="47" s="1"/>
  <c r="V53" i="53"/>
  <c r="AA31" i="53"/>
  <c r="AA34" i="53" s="1"/>
  <c r="AA35" i="53" s="1"/>
  <c r="AA36" i="53" s="1"/>
  <c r="AA41" i="53" s="1"/>
  <c r="Z168" i="53"/>
  <c r="Z169" i="53"/>
  <c r="X181" i="53"/>
  <c r="X180" i="53"/>
  <c r="J220" i="53"/>
  <c r="J223" i="53"/>
  <c r="J261" i="53" s="1"/>
  <c r="G122" i="47" s="1"/>
  <c r="Y192" i="53" l="1"/>
  <c r="Z50" i="53"/>
  <c r="Z192" i="53" s="1"/>
  <c r="Y180" i="53"/>
  <c r="Z49" i="53"/>
  <c r="Z180" i="53" s="1"/>
  <c r="AA44" i="53"/>
  <c r="AA43" i="53"/>
  <c r="AA46" i="53"/>
  <c r="AA45" i="53"/>
  <c r="Z193" i="53"/>
  <c r="AB31" i="53"/>
  <c r="AA168" i="53"/>
  <c r="AA169" i="53"/>
  <c r="X51" i="53"/>
  <c r="W203" i="53"/>
  <c r="W226" i="53" s="1"/>
  <c r="W264" i="53" s="1"/>
  <c r="T119" i="47" s="1"/>
  <c r="W204" i="53"/>
  <c r="W227" i="53" s="1"/>
  <c r="W265" i="53" s="1"/>
  <c r="T125" i="47" s="1"/>
  <c r="W53" i="53"/>
  <c r="Y214" i="53"/>
  <c r="Y215" i="53"/>
  <c r="Z52" i="53"/>
  <c r="AB24" i="53"/>
  <c r="Z181" i="53"/>
  <c r="J258" i="53"/>
  <c r="G118" i="47" s="1"/>
  <c r="J245" i="53"/>
  <c r="AA50" i="53" l="1"/>
  <c r="AB34" i="53"/>
  <c r="AB35" i="53" s="1"/>
  <c r="AG60" i="53"/>
  <c r="AB60" i="53"/>
  <c r="AA49" i="53"/>
  <c r="AC24" i="53"/>
  <c r="Z215" i="53"/>
  <c r="Z214" i="53"/>
  <c r="AA52" i="53"/>
  <c r="X203" i="53"/>
  <c r="X226" i="53" s="1"/>
  <c r="X264" i="53" s="1"/>
  <c r="U119" i="47" s="1"/>
  <c r="Y51" i="53"/>
  <c r="X204" i="53"/>
  <c r="X227" i="53" s="1"/>
  <c r="X265" i="53" s="1"/>
  <c r="U125" i="47" s="1"/>
  <c r="X53" i="53"/>
  <c r="AA180" i="53"/>
  <c r="AA181" i="53"/>
  <c r="AC31" i="53"/>
  <c r="AC34" i="53" s="1"/>
  <c r="AA192" i="53"/>
  <c r="AA193" i="53"/>
  <c r="AD31" i="53" l="1"/>
  <c r="AD34" i="53" s="1"/>
  <c r="AC35" i="53"/>
  <c r="AD24" i="53"/>
  <c r="AA214" i="53"/>
  <c r="AA215" i="53"/>
  <c r="AB169" i="53"/>
  <c r="AB168" i="53"/>
  <c r="AB36" i="53"/>
  <c r="AB41" i="53" s="1"/>
  <c r="Y203" i="53"/>
  <c r="Y226" i="53" s="1"/>
  <c r="Y264" i="53" s="1"/>
  <c r="V119" i="47" s="1"/>
  <c r="Y204" i="53"/>
  <c r="Y227" i="53" s="1"/>
  <c r="Y265" i="53" s="1"/>
  <c r="V125" i="47" s="1"/>
  <c r="Y53" i="53"/>
  <c r="Z51" i="53"/>
  <c r="AE24" i="53" l="1"/>
  <c r="AC169" i="53"/>
  <c r="AC168" i="53"/>
  <c r="AC36" i="53"/>
  <c r="AC41" i="53" s="1"/>
  <c r="Z203" i="53"/>
  <c r="Z226" i="53" s="1"/>
  <c r="Z264" i="53" s="1"/>
  <c r="W119" i="47" s="1"/>
  <c r="Z204" i="53"/>
  <c r="Z227" i="53" s="1"/>
  <c r="Z265" i="53" s="1"/>
  <c r="W125" i="47" s="1"/>
  <c r="Z53" i="53"/>
  <c r="AA51" i="53"/>
  <c r="AB44" i="53"/>
  <c r="AB50" i="53" s="1"/>
  <c r="AB43" i="53"/>
  <c r="AB49" i="53" s="1"/>
  <c r="AB45" i="53"/>
  <c r="AB46" i="53"/>
  <c r="AB52" i="53" s="1"/>
  <c r="AE31" i="53"/>
  <c r="AE34" i="53" s="1"/>
  <c r="AD35" i="53"/>
  <c r="AB51" i="53" l="1"/>
  <c r="AB204" i="53" s="1"/>
  <c r="AF31" i="53"/>
  <c r="AF34" i="53" s="1"/>
  <c r="AE35" i="53"/>
  <c r="AF24" i="53"/>
  <c r="AB215" i="53"/>
  <c r="AB214" i="53"/>
  <c r="AB181" i="53"/>
  <c r="AB180" i="53"/>
  <c r="AA204" i="53"/>
  <c r="AA227" i="53" s="1"/>
  <c r="AA265" i="53" s="1"/>
  <c r="X125" i="47" s="1"/>
  <c r="AA203" i="53"/>
  <c r="AA226" i="53" s="1"/>
  <c r="AA264" i="53" s="1"/>
  <c r="X119" i="47" s="1"/>
  <c r="AA53" i="53"/>
  <c r="AD169" i="53"/>
  <c r="AD168" i="53"/>
  <c r="AD36" i="53"/>
  <c r="AD41" i="53" s="1"/>
  <c r="AB193" i="53"/>
  <c r="AB192" i="53"/>
  <c r="AC45" i="53"/>
  <c r="AC46" i="53"/>
  <c r="AC52" i="53" s="1"/>
  <c r="AC43" i="53"/>
  <c r="AC49" i="53" s="1"/>
  <c r="AC44" i="53"/>
  <c r="AC50" i="53" s="1"/>
  <c r="AB53" i="53" l="1"/>
  <c r="AC51" i="53"/>
  <c r="AC204" i="53" s="1"/>
  <c r="AB203" i="53"/>
  <c r="AB226" i="53" s="1"/>
  <c r="AB264" i="53" s="1"/>
  <c r="Y119" i="47" s="1"/>
  <c r="AG24" i="53"/>
  <c r="AB227" i="53"/>
  <c r="AB265" i="53" s="1"/>
  <c r="Y125" i="47" s="1"/>
  <c r="AC192" i="53"/>
  <c r="AC193" i="53"/>
  <c r="AC214" i="53"/>
  <c r="AC215" i="53"/>
  <c r="AD46" i="53"/>
  <c r="AD52" i="53" s="1"/>
  <c r="AD45" i="53"/>
  <c r="AD44" i="53"/>
  <c r="AD50" i="53" s="1"/>
  <c r="AD43" i="53"/>
  <c r="AD49" i="53" s="1"/>
  <c r="AE169" i="53"/>
  <c r="AE168" i="53"/>
  <c r="AE36" i="53"/>
  <c r="AE41" i="53" s="1"/>
  <c r="AC53" i="53"/>
  <c r="AC181" i="53"/>
  <c r="AC180" i="53"/>
  <c r="AC203" i="53"/>
  <c r="AG31" i="53"/>
  <c r="AG34" i="53" s="1"/>
  <c r="AF35" i="53"/>
  <c r="AD51" i="53" l="1"/>
  <c r="AD53" i="53" s="1"/>
  <c r="AH31" i="53"/>
  <c r="AH34" i="53" s="1"/>
  <c r="AG35" i="53"/>
  <c r="AH24" i="53"/>
  <c r="AD181" i="53"/>
  <c r="AD180" i="53"/>
  <c r="AD204" i="53"/>
  <c r="AC227" i="53"/>
  <c r="AC265" i="53" s="1"/>
  <c r="Z125" i="47" s="1"/>
  <c r="AF168" i="53"/>
  <c r="AF169" i="53"/>
  <c r="AF36" i="53"/>
  <c r="AF41" i="53" s="1"/>
  <c r="AE45" i="53"/>
  <c r="AE44" i="53"/>
  <c r="AE50" i="53" s="1"/>
  <c r="AE43" i="53"/>
  <c r="AE49" i="53" s="1"/>
  <c r="AE46" i="53"/>
  <c r="AE52" i="53" s="1"/>
  <c r="AD193" i="53"/>
  <c r="AD192" i="53"/>
  <c r="AD215" i="53"/>
  <c r="AD214" i="53"/>
  <c r="AC226" i="53"/>
  <c r="AC264" i="53" s="1"/>
  <c r="Z119" i="47" s="1"/>
  <c r="AE51" i="53" l="1"/>
  <c r="AE53" i="53" s="1"/>
  <c r="AD203" i="53"/>
  <c r="AD226" i="53" s="1"/>
  <c r="AD264" i="53" s="1"/>
  <c r="AA119" i="47" s="1"/>
  <c r="AI24" i="53"/>
  <c r="AE215" i="53"/>
  <c r="AE214" i="53"/>
  <c r="AE192" i="53"/>
  <c r="AE193" i="53"/>
  <c r="AF45" i="53"/>
  <c r="AF46" i="53"/>
  <c r="AF52" i="53" s="1"/>
  <c r="AF44" i="53"/>
  <c r="AF50" i="53" s="1"/>
  <c r="AF43" i="53"/>
  <c r="AF49" i="53" s="1"/>
  <c r="AG169" i="53"/>
  <c r="AG168" i="53"/>
  <c r="AG36" i="53"/>
  <c r="AG41" i="53" s="1"/>
  <c r="AD227" i="53"/>
  <c r="AD265" i="53" s="1"/>
  <c r="AA125" i="47" s="1"/>
  <c r="AE180" i="53"/>
  <c r="AE181" i="53"/>
  <c r="AI31" i="53"/>
  <c r="AI34" i="53" s="1"/>
  <c r="AH35" i="53"/>
  <c r="AE204" i="53" l="1"/>
  <c r="AE203" i="53"/>
  <c r="AE226" i="53" s="1"/>
  <c r="AE264" i="53" s="1"/>
  <c r="AB119" i="47" s="1"/>
  <c r="AF51" i="53"/>
  <c r="AH168" i="53"/>
  <c r="AH169" i="53"/>
  <c r="AH36" i="53"/>
  <c r="AH41" i="53" s="1"/>
  <c r="AG46" i="53"/>
  <c r="AG52" i="53" s="1"/>
  <c r="AG43" i="53"/>
  <c r="AG49" i="53" s="1"/>
  <c r="AG44" i="53"/>
  <c r="AG50" i="53" s="1"/>
  <c r="AG45" i="53"/>
  <c r="AG51" i="53" s="1"/>
  <c r="AF192" i="53"/>
  <c r="AF193" i="53"/>
  <c r="AF203" i="53"/>
  <c r="AF204" i="53"/>
  <c r="AE227" i="53"/>
  <c r="AE265" i="53" s="1"/>
  <c r="AB125" i="47" s="1"/>
  <c r="AJ31" i="53"/>
  <c r="AJ34" i="53" s="1"/>
  <c r="AI35" i="53"/>
  <c r="AJ24" i="53"/>
  <c r="AK24" i="53" s="1"/>
  <c r="AF53" i="53"/>
  <c r="AF181" i="53"/>
  <c r="AF180" i="53"/>
  <c r="AF215" i="53"/>
  <c r="AF214" i="53"/>
  <c r="AI169" i="53" l="1"/>
  <c r="AI168" i="53"/>
  <c r="AI36" i="53"/>
  <c r="AI41" i="53" s="1"/>
  <c r="AF227" i="53"/>
  <c r="AF265" i="53" s="1"/>
  <c r="AC125" i="47" s="1"/>
  <c r="AG192" i="53"/>
  <c r="AG193" i="53"/>
  <c r="AG214" i="53"/>
  <c r="AG215" i="53"/>
  <c r="AH44" i="53"/>
  <c r="AH50" i="53" s="1"/>
  <c r="AH46" i="53"/>
  <c r="AH52" i="53" s="1"/>
  <c r="AH43" i="53"/>
  <c r="AH49" i="53" s="1"/>
  <c r="AH45" i="53"/>
  <c r="AH51" i="53" s="1"/>
  <c r="AK31" i="53"/>
  <c r="AK34" i="53" s="1"/>
  <c r="AJ35" i="53"/>
  <c r="AF226" i="53"/>
  <c r="AF264" i="53" s="1"/>
  <c r="AC119" i="47" s="1"/>
  <c r="AG203" i="53"/>
  <c r="AG204" i="53"/>
  <c r="AG181" i="53"/>
  <c r="AG53" i="53"/>
  <c r="AG180" i="53"/>
  <c r="AJ169" i="53" l="1"/>
  <c r="AJ168" i="53"/>
  <c r="AJ36" i="53"/>
  <c r="AJ41" i="53" s="1"/>
  <c r="AH180" i="53"/>
  <c r="AH181" i="53"/>
  <c r="AH53" i="53"/>
  <c r="AH193" i="53"/>
  <c r="AH192" i="53"/>
  <c r="AG226" i="53"/>
  <c r="AG264" i="53" s="1"/>
  <c r="AD119" i="47" s="1"/>
  <c r="AI43" i="53"/>
  <c r="AI49" i="53" s="1"/>
  <c r="AI44" i="53"/>
  <c r="AI50" i="53" s="1"/>
  <c r="AI46" i="53"/>
  <c r="AI52" i="53" s="1"/>
  <c r="AI45" i="53"/>
  <c r="AI51" i="53" s="1"/>
  <c r="AL31" i="53"/>
  <c r="AL34" i="53" s="1"/>
  <c r="AK35" i="53"/>
  <c r="AL24" i="53"/>
  <c r="AH204" i="53"/>
  <c r="AH203" i="53"/>
  <c r="AH215" i="53"/>
  <c r="AH214" i="53"/>
  <c r="AG227" i="53"/>
  <c r="AG265" i="53" s="1"/>
  <c r="AD125" i="47" s="1"/>
  <c r="AM24" i="53" l="1"/>
  <c r="AM31" i="53"/>
  <c r="AM34" i="53" s="1"/>
  <c r="AL35" i="53"/>
  <c r="AI215" i="53"/>
  <c r="AI214" i="53"/>
  <c r="AI180" i="53"/>
  <c r="AI53" i="53"/>
  <c r="AI181" i="53"/>
  <c r="AH227" i="53"/>
  <c r="AH265" i="53" s="1"/>
  <c r="AE125" i="47" s="1"/>
  <c r="AK169" i="53"/>
  <c r="AK168" i="53"/>
  <c r="AK36" i="53"/>
  <c r="AK41" i="53" s="1"/>
  <c r="AI204" i="53"/>
  <c r="AI203" i="53"/>
  <c r="AI192" i="53"/>
  <c r="AI193" i="53"/>
  <c r="AH226" i="53"/>
  <c r="AH264" i="53" s="1"/>
  <c r="AE119" i="47" s="1"/>
  <c r="AJ44" i="53"/>
  <c r="AJ50" i="53" s="1"/>
  <c r="AJ46" i="53"/>
  <c r="AJ52" i="53" s="1"/>
  <c r="AJ45" i="53"/>
  <c r="AJ51" i="53" s="1"/>
  <c r="AJ43" i="53"/>
  <c r="AJ49" i="53" s="1"/>
  <c r="AI227" i="53" l="1"/>
  <c r="AI265" i="53" s="1"/>
  <c r="AF125" i="47" s="1"/>
  <c r="AI226" i="53"/>
  <c r="AI264" i="53" s="1"/>
  <c r="AF119" i="47" s="1"/>
  <c r="AJ203" i="53"/>
  <c r="AJ204" i="53"/>
  <c r="AJ193" i="53"/>
  <c r="AJ192" i="53"/>
  <c r="AL168" i="53"/>
  <c r="AL169" i="53"/>
  <c r="AL36" i="53"/>
  <c r="AL41" i="53" s="1"/>
  <c r="AJ181" i="53"/>
  <c r="AJ53" i="53"/>
  <c r="AJ180" i="53"/>
  <c r="AJ215" i="53"/>
  <c r="AJ214" i="53"/>
  <c r="AK45" i="53"/>
  <c r="AK51" i="53" s="1"/>
  <c r="AK46" i="53"/>
  <c r="AK52" i="53" s="1"/>
  <c r="AK44" i="53"/>
  <c r="AK50" i="53" s="1"/>
  <c r="AK43" i="53"/>
  <c r="AK49" i="53" s="1"/>
  <c r="AN31" i="53"/>
  <c r="AN34" i="53" s="1"/>
  <c r="AM35" i="53"/>
  <c r="AN24" i="53"/>
  <c r="AO24" i="53" l="1"/>
  <c r="AM168" i="53"/>
  <c r="AM169" i="53"/>
  <c r="AM36" i="53"/>
  <c r="AM41" i="53" s="1"/>
  <c r="AK181" i="53"/>
  <c r="AK180" i="53"/>
  <c r="AK53" i="53"/>
  <c r="AK214" i="53"/>
  <c r="AK215" i="53"/>
  <c r="AL44" i="53"/>
  <c r="AL50" i="53" s="1"/>
  <c r="AL43" i="53"/>
  <c r="AL49" i="53" s="1"/>
  <c r="AL45" i="53"/>
  <c r="AL51" i="53" s="1"/>
  <c r="AL46" i="53"/>
  <c r="AL52" i="53" s="1"/>
  <c r="AJ227" i="53"/>
  <c r="AJ265" i="53" s="1"/>
  <c r="AG125" i="47" s="1"/>
  <c r="AO31" i="53"/>
  <c r="AO34" i="53" s="1"/>
  <c r="AN35" i="53"/>
  <c r="AK193" i="53"/>
  <c r="AK192" i="53"/>
  <c r="AK203" i="53"/>
  <c r="AK204" i="53"/>
  <c r="AJ226" i="53"/>
  <c r="AJ264" i="53" s="1"/>
  <c r="AG119" i="47" s="1"/>
  <c r="AK226" i="53" l="1"/>
  <c r="AK264" i="53" s="1"/>
  <c r="AH119" i="47" s="1"/>
  <c r="AN169" i="53"/>
  <c r="AN168" i="53"/>
  <c r="AN36" i="53"/>
  <c r="AN41" i="53" s="1"/>
  <c r="AL204" i="53"/>
  <c r="AL203" i="53"/>
  <c r="AL193" i="53"/>
  <c r="AL192" i="53"/>
  <c r="AM46" i="53"/>
  <c r="AM52" i="53" s="1"/>
  <c r="AM45" i="53"/>
  <c r="AM51" i="53" s="1"/>
  <c r="AM44" i="53"/>
  <c r="AM50" i="53" s="1"/>
  <c r="AM43" i="53"/>
  <c r="AM49" i="53" s="1"/>
  <c r="AK227" i="53"/>
  <c r="AK265" i="53" s="1"/>
  <c r="AH125" i="47" s="1"/>
  <c r="AP31" i="53"/>
  <c r="AP34" i="53" s="1"/>
  <c r="AO35" i="53"/>
  <c r="AP24" i="53"/>
  <c r="AL215" i="53"/>
  <c r="AL214" i="53"/>
  <c r="AL53" i="53"/>
  <c r="AL180" i="53"/>
  <c r="AL181" i="53"/>
  <c r="AQ24" i="53" l="1"/>
  <c r="AO168" i="53"/>
  <c r="AO169" i="53"/>
  <c r="AO36" i="53"/>
  <c r="AO41" i="53" s="1"/>
  <c r="AM181" i="53"/>
  <c r="AM53" i="53"/>
  <c r="AM180" i="53"/>
  <c r="AM204" i="53"/>
  <c r="AM203" i="53"/>
  <c r="AL227" i="53"/>
  <c r="AL265" i="53" s="1"/>
  <c r="AI125" i="47" s="1"/>
  <c r="AQ31" i="53"/>
  <c r="AQ34" i="53" s="1"/>
  <c r="AP35" i="53"/>
  <c r="AM193" i="53"/>
  <c r="AM192" i="53"/>
  <c r="AM214" i="53"/>
  <c r="AM215" i="53"/>
  <c r="AL226" i="53"/>
  <c r="AL264" i="53" s="1"/>
  <c r="AI119" i="47" s="1"/>
  <c r="AN43" i="53"/>
  <c r="AN49" i="53" s="1"/>
  <c r="AN44" i="53"/>
  <c r="AN50" i="53" s="1"/>
  <c r="AN45" i="53"/>
  <c r="AN51" i="53" s="1"/>
  <c r="AN46" i="53"/>
  <c r="AN52" i="53" s="1"/>
  <c r="AN204" i="53" l="1"/>
  <c r="AN203" i="53"/>
  <c r="AN53" i="53"/>
  <c r="AN180" i="53"/>
  <c r="AN181" i="53"/>
  <c r="AM227" i="53"/>
  <c r="AR31" i="53"/>
  <c r="AR34" i="53" s="1"/>
  <c r="AQ35" i="53"/>
  <c r="AR24" i="53"/>
  <c r="AO44" i="53"/>
  <c r="AO50" i="53" s="1"/>
  <c r="AO43" i="53"/>
  <c r="AO49" i="53" s="1"/>
  <c r="AO46" i="53"/>
  <c r="AO52" i="53" s="1"/>
  <c r="AO45" i="53"/>
  <c r="AO51" i="53" s="1"/>
  <c r="AN214" i="53"/>
  <c r="AN215" i="53"/>
  <c r="AN192" i="53"/>
  <c r="AN193" i="53"/>
  <c r="AM226" i="53"/>
  <c r="AP168" i="53"/>
  <c r="AP169" i="53"/>
  <c r="AP36" i="53"/>
  <c r="AP41" i="53" s="1"/>
  <c r="AS24" i="53" l="1"/>
  <c r="AN227" i="53"/>
  <c r="AN226" i="53"/>
  <c r="AP46" i="53"/>
  <c r="AP52" i="53" s="1"/>
  <c r="AP44" i="53"/>
  <c r="AP50" i="53" s="1"/>
  <c r="AP43" i="53"/>
  <c r="AP49" i="53" s="1"/>
  <c r="AP45" i="53"/>
  <c r="AP51" i="53" s="1"/>
  <c r="AO203" i="53"/>
  <c r="AO204" i="53"/>
  <c r="AO53" i="53"/>
  <c r="AO181" i="53"/>
  <c r="AO180" i="53"/>
  <c r="AS31" i="53"/>
  <c r="AS34" i="53" s="1"/>
  <c r="AR35" i="53"/>
  <c r="AO215" i="53"/>
  <c r="AO214" i="53"/>
  <c r="AO192" i="53"/>
  <c r="AO193" i="53"/>
  <c r="AQ169" i="53"/>
  <c r="AQ168" i="53"/>
  <c r="AQ36" i="53"/>
  <c r="AQ41" i="53" s="1"/>
  <c r="AO226" i="53" l="1"/>
  <c r="AO227" i="53"/>
  <c r="AT31" i="53"/>
  <c r="AT34" i="53" s="1"/>
  <c r="AS35" i="53"/>
  <c r="AT24" i="53"/>
  <c r="AP204" i="53"/>
  <c r="AP203" i="53"/>
  <c r="AP193" i="53"/>
  <c r="AP192" i="53"/>
  <c r="AQ46" i="53"/>
  <c r="AQ52" i="53" s="1"/>
  <c r="AQ44" i="53"/>
  <c r="AQ50" i="53" s="1"/>
  <c r="AQ45" i="53"/>
  <c r="AQ51" i="53" s="1"/>
  <c r="AQ43" i="53"/>
  <c r="AQ49" i="53" s="1"/>
  <c r="AR168" i="53"/>
  <c r="AR169" i="53"/>
  <c r="AR36" i="53"/>
  <c r="AR41" i="53" s="1"/>
  <c r="AP181" i="53"/>
  <c r="AP53" i="53"/>
  <c r="AP180" i="53"/>
  <c r="AP214" i="53"/>
  <c r="AP215" i="53"/>
  <c r="AU24" i="53" l="1"/>
  <c r="AQ53" i="53"/>
  <c r="AQ180" i="53"/>
  <c r="AQ181" i="53"/>
  <c r="AQ192" i="53"/>
  <c r="AQ193" i="53"/>
  <c r="AP226" i="53"/>
  <c r="AS168" i="53"/>
  <c r="AS169" i="53"/>
  <c r="AS36" i="53"/>
  <c r="AS41" i="53" s="1"/>
  <c r="AR45" i="53"/>
  <c r="AR51" i="53" s="1"/>
  <c r="AR46" i="53"/>
  <c r="AR52" i="53" s="1"/>
  <c r="AR43" i="53"/>
  <c r="AR49" i="53" s="1"/>
  <c r="AR44" i="53"/>
  <c r="AR50" i="53" s="1"/>
  <c r="AQ203" i="53"/>
  <c r="AQ204" i="53"/>
  <c r="AQ214" i="53"/>
  <c r="AQ215" i="53"/>
  <c r="AP227" i="53"/>
  <c r="AU31" i="53"/>
  <c r="AU34" i="53" s="1"/>
  <c r="AV23" i="53"/>
  <c r="AT35" i="53"/>
  <c r="AT168" i="53" l="1"/>
  <c r="AT169" i="53"/>
  <c r="AT36" i="53"/>
  <c r="AT41" i="53" s="1"/>
  <c r="AR192" i="53"/>
  <c r="AR193" i="53"/>
  <c r="AR215" i="53"/>
  <c r="AR214" i="53"/>
  <c r="AQ227" i="53"/>
  <c r="AM265" i="53" s="1"/>
  <c r="AJ125" i="47" s="1"/>
  <c r="AV31" i="53"/>
  <c r="AV34" i="53" s="1"/>
  <c r="AU35" i="53"/>
  <c r="AV24" i="53"/>
  <c r="AR53" i="53"/>
  <c r="AR180" i="53"/>
  <c r="AR181" i="53"/>
  <c r="AR204" i="53"/>
  <c r="AR203" i="53"/>
  <c r="AS46" i="53"/>
  <c r="AS52" i="53" s="1"/>
  <c r="AS45" i="53"/>
  <c r="AS51" i="53" s="1"/>
  <c r="AS44" i="53"/>
  <c r="AS50" i="53" s="1"/>
  <c r="AS43" i="53"/>
  <c r="AS49" i="53" s="1"/>
  <c r="AQ226" i="53"/>
  <c r="AM264" i="53" s="1"/>
  <c r="AJ119" i="47" s="1"/>
  <c r="AS53" i="53" l="1"/>
  <c r="AS180" i="53"/>
  <c r="AS181" i="53"/>
  <c r="AS204" i="53"/>
  <c r="AS203" i="53"/>
  <c r="AU168" i="53"/>
  <c r="AU169" i="53"/>
  <c r="AU36" i="53"/>
  <c r="AU41" i="53" s="1"/>
  <c r="AV35" i="53"/>
  <c r="AR227" i="53"/>
  <c r="AS193" i="53"/>
  <c r="AS192" i="53"/>
  <c r="AS214" i="53"/>
  <c r="AS215" i="53"/>
  <c r="AR226" i="53"/>
  <c r="AT46" i="53"/>
  <c r="AT52" i="53" s="1"/>
  <c r="AT45" i="53"/>
  <c r="AT51" i="53" s="1"/>
  <c r="AT44" i="53"/>
  <c r="AT50" i="53" s="1"/>
  <c r="AT43" i="53"/>
  <c r="AT49" i="53" s="1"/>
  <c r="AT53" i="53" l="1"/>
  <c r="AT180" i="53"/>
  <c r="AT181" i="53"/>
  <c r="AT203" i="53"/>
  <c r="AT204" i="53"/>
  <c r="AS226" i="53"/>
  <c r="AV168" i="53"/>
  <c r="AV169" i="53"/>
  <c r="AV36" i="53"/>
  <c r="AV41" i="53" s="1"/>
  <c r="AT193" i="53"/>
  <c r="AT192" i="53"/>
  <c r="AT214" i="53"/>
  <c r="AT215" i="53"/>
  <c r="AS227" i="53"/>
  <c r="AU46" i="53"/>
  <c r="AU52" i="53" s="1"/>
  <c r="AU44" i="53"/>
  <c r="AU50" i="53" s="1"/>
  <c r="AU43" i="53"/>
  <c r="AU49" i="53" s="1"/>
  <c r="AU45" i="53"/>
  <c r="AU51" i="53" s="1"/>
  <c r="AU180" i="53" l="1"/>
  <c r="AU181" i="53"/>
  <c r="AU53" i="53"/>
  <c r="AU214" i="53"/>
  <c r="AU215" i="53"/>
  <c r="AT227" i="53"/>
  <c r="AV43" i="53"/>
  <c r="AV49" i="53" s="1"/>
  <c r="AV46" i="53"/>
  <c r="AV52" i="53" s="1"/>
  <c r="AV44" i="53"/>
  <c r="AV50" i="53" s="1"/>
  <c r="AV45" i="53"/>
  <c r="AV51" i="53" s="1"/>
  <c r="AU203" i="53"/>
  <c r="AU204" i="53"/>
  <c r="AU192" i="53"/>
  <c r="AU193" i="53"/>
  <c r="AT226" i="53"/>
  <c r="AU227" i="53" l="1"/>
  <c r="AU226" i="53"/>
  <c r="AV193" i="53"/>
  <c r="AV192" i="53"/>
  <c r="AV53" i="53"/>
  <c r="AV180" i="53"/>
  <c r="AV181" i="53"/>
  <c r="AV204" i="53"/>
  <c r="AV203" i="53"/>
  <c r="AV215" i="53"/>
  <c r="AV214" i="53"/>
  <c r="AV226" i="53" l="1"/>
  <c r="AN264" i="53" s="1"/>
  <c r="AV227" i="53"/>
  <c r="AN265" i="53" s="1"/>
  <c r="AO264" i="53" l="1"/>
  <c r="AK119" i="47"/>
  <c r="AK125" i="47"/>
  <c r="AO265" i="53"/>
  <c r="AL125" i="47" l="1"/>
  <c r="AP265" i="53"/>
  <c r="AM125" i="47" s="1"/>
  <c r="AL119" i="47"/>
  <c r="AP264" i="53"/>
  <c r="AM119" i="47" s="1"/>
  <c r="AN216" i="57" l="1"/>
  <c r="AN214" i="57"/>
  <c r="AN220" i="57"/>
  <c r="AM220" i="57" s="1"/>
  <c r="AN218" i="57"/>
  <c r="AO218" i="57" s="1"/>
  <c r="AN221" i="57"/>
  <c r="AO221" i="57" s="1"/>
  <c r="AN219" i="57"/>
  <c r="AM219" i="57" s="1"/>
  <c r="AN217" i="57"/>
  <c r="AM217" i="57" s="1"/>
  <c r="AN215" i="57"/>
  <c r="AO215" i="57" s="1"/>
  <c r="AI104" i="47" l="1"/>
  <c r="AH104" i="47"/>
  <c r="AI103" i="47"/>
  <c r="AH103" i="47"/>
  <c r="AI107" i="47"/>
  <c r="AH107" i="47"/>
  <c r="AJ100" i="47"/>
  <c r="AJ101" i="47"/>
  <c r="AJ104" i="47"/>
  <c r="AJ102" i="47"/>
  <c r="AJ106" i="47"/>
  <c r="AO219" i="57"/>
  <c r="AP219" i="57" s="1"/>
  <c r="AL103" i="47" s="1"/>
  <c r="AO216" i="57"/>
  <c r="AJ105" i="47"/>
  <c r="AM218" i="57"/>
  <c r="AM221" i="57"/>
  <c r="AP221" i="57"/>
  <c r="AL105" i="47" s="1"/>
  <c r="AP218" i="57"/>
  <c r="AL106" i="47" s="1"/>
  <c r="AP215" i="57"/>
  <c r="AL102" i="47" s="1"/>
  <c r="AK102" i="47"/>
  <c r="AJ107" i="47"/>
  <c r="AM216" i="57"/>
  <c r="AM214" i="57"/>
  <c r="AM215" i="57"/>
  <c r="AO220" i="57"/>
  <c r="AO214" i="57"/>
  <c r="AO217" i="57"/>
  <c r="AK103" i="47" l="1"/>
  <c r="AK106" i="47"/>
  <c r="AK105" i="47"/>
  <c r="AI102" i="47"/>
  <c r="AH102" i="47"/>
  <c r="AI100" i="47"/>
  <c r="AH100" i="47"/>
  <c r="AI106" i="47"/>
  <c r="AH106" i="47"/>
  <c r="AI105" i="47"/>
  <c r="AH105" i="47"/>
  <c r="AJ103" i="47"/>
  <c r="AI101" i="47"/>
  <c r="AH101" i="47"/>
  <c r="AP216" i="57"/>
  <c r="AL101" i="47" s="1"/>
  <c r="AP214" i="57"/>
  <c r="AL100" i="47" s="1"/>
  <c r="AK100" i="47"/>
  <c r="AK104" i="47"/>
  <c r="AP217" i="57"/>
  <c r="AL104" i="47" s="1"/>
  <c r="AK107" i="47"/>
  <c r="AP220" i="57"/>
  <c r="AL107" i="47" s="1"/>
  <c r="AK101" i="47" l="1"/>
  <c r="AN48" i="29"/>
  <c r="AO48" i="29" s="1"/>
  <c r="AN49" i="29"/>
  <c r="AK85" i="47" s="1"/>
  <c r="AN50" i="29"/>
  <c r="AM50" i="29" s="1"/>
  <c r="AJ86" i="47" s="1"/>
  <c r="AN51" i="29"/>
  <c r="AK108" i="47" s="1"/>
  <c r="AN47" i="29"/>
  <c r="AK83" i="47" s="1"/>
  <c r="AM49" i="29" l="1"/>
  <c r="AJ85" i="47" s="1"/>
  <c r="AO50" i="29"/>
  <c r="AK86" i="47"/>
  <c r="AO47" i="29"/>
  <c r="AP47" i="29" s="1"/>
  <c r="AM83" i="47" s="1"/>
  <c r="AO49" i="29"/>
  <c r="AL84" i="47"/>
  <c r="AP48" i="29"/>
  <c r="AM84" i="47" s="1"/>
  <c r="AO51" i="29"/>
  <c r="AK84" i="47"/>
  <c r="AM51" i="29"/>
  <c r="AJ108" i="47" s="1"/>
  <c r="AL83" i="47"/>
  <c r="AM48" i="29"/>
  <c r="AJ84" i="47" s="1"/>
  <c r="AM47" i="29"/>
  <c r="AJ83" i="47" s="1"/>
  <c r="AL85" i="47" l="1"/>
  <c r="AP49" i="29"/>
  <c r="AM85" i="47" s="1"/>
  <c r="AL86" i="47"/>
  <c r="AP50" i="29"/>
  <c r="AM86" i="47" s="1"/>
  <c r="AP51" i="29"/>
  <c r="AM108" i="47" s="1"/>
  <c r="AL108" i="47"/>
  <c r="O108" i="32" l="1"/>
  <c r="P108" i="32" l="1"/>
  <c r="Q108" i="32" s="1"/>
  <c r="R108" i="32" s="1"/>
  <c r="S108" i="32" s="1"/>
  <c r="T108" i="32" s="1"/>
  <c r="U108" i="32" s="1"/>
  <c r="V108" i="32" s="1"/>
  <c r="W108" i="32" s="1"/>
  <c r="X108" i="32" s="1"/>
  <c r="Y108" i="32" s="1"/>
  <c r="Z108" i="32" s="1"/>
  <c r="AA108" i="32" s="1"/>
  <c r="AB108" i="32" s="1"/>
  <c r="AC108" i="32" s="1"/>
  <c r="AD108" i="32" s="1"/>
  <c r="AE108" i="32" s="1"/>
  <c r="AF108" i="32" s="1"/>
  <c r="AG108" i="32" s="1"/>
  <c r="AH108" i="32" s="1"/>
  <c r="AI108" i="32" s="1"/>
  <c r="AJ108" i="32" s="1"/>
  <c r="AK108" i="32" s="1"/>
  <c r="AL108" i="32" s="1"/>
  <c r="AM108" i="32" s="1"/>
  <c r="AN108" i="32" s="1"/>
  <c r="AO108" i="32" s="1"/>
  <c r="AP108" i="32" s="1"/>
  <c r="O119" i="32"/>
  <c r="J109" i="32"/>
  <c r="O109" i="32"/>
  <c r="J120" i="32"/>
  <c r="O120" i="32"/>
  <c r="J119" i="32"/>
  <c r="O128" i="32"/>
  <c r="O118" i="32"/>
  <c r="J108" i="32"/>
  <c r="N108" i="32" s="1"/>
  <c r="M119" i="32" l="1"/>
  <c r="P120" i="32"/>
  <c r="Q120" i="32" s="1"/>
  <c r="R120" i="32" s="1"/>
  <c r="S120" i="32" s="1"/>
  <c r="T120" i="32" s="1"/>
  <c r="U120" i="32" s="1"/>
  <c r="V120" i="32" s="1"/>
  <c r="W120" i="32" s="1"/>
  <c r="X120" i="32" s="1"/>
  <c r="Y120" i="32" s="1"/>
  <c r="Z120" i="32" s="1"/>
  <c r="AA120" i="32" s="1"/>
  <c r="AB120" i="32" s="1"/>
  <c r="AC120" i="32" s="1"/>
  <c r="AD120" i="32" s="1"/>
  <c r="AE120" i="32" s="1"/>
  <c r="AF120" i="32" s="1"/>
  <c r="AG120" i="32" s="1"/>
  <c r="AH120" i="32" s="1"/>
  <c r="AI120" i="32" s="1"/>
  <c r="AJ120" i="32" s="1"/>
  <c r="AK120" i="32" s="1"/>
  <c r="AL120" i="32" s="1"/>
  <c r="AM120" i="32" s="1"/>
  <c r="AN120" i="32" s="1"/>
  <c r="AO120" i="32" s="1"/>
  <c r="AP120" i="32" s="1"/>
  <c r="M120" i="32"/>
  <c r="N120" i="32"/>
  <c r="K120" i="32"/>
  <c r="L120" i="32"/>
  <c r="P109" i="32"/>
  <c r="Q109" i="32" s="1"/>
  <c r="R109" i="32" s="1"/>
  <c r="S109" i="32" s="1"/>
  <c r="T109" i="32" s="1"/>
  <c r="U109" i="32" s="1"/>
  <c r="V109" i="32" s="1"/>
  <c r="W109" i="32" s="1"/>
  <c r="X109" i="32" s="1"/>
  <c r="Y109" i="32" s="1"/>
  <c r="Z109" i="32" s="1"/>
  <c r="AA109" i="32" s="1"/>
  <c r="AB109" i="32" s="1"/>
  <c r="AC109" i="32" s="1"/>
  <c r="AD109" i="32" s="1"/>
  <c r="AE109" i="32" s="1"/>
  <c r="AF109" i="32" s="1"/>
  <c r="AG109" i="32" s="1"/>
  <c r="AH109" i="32" s="1"/>
  <c r="AI109" i="32" s="1"/>
  <c r="AJ109" i="32" s="1"/>
  <c r="AK109" i="32" s="1"/>
  <c r="AL109" i="32" s="1"/>
  <c r="AM109" i="32" s="1"/>
  <c r="AN109" i="32" s="1"/>
  <c r="AO109" i="32" s="1"/>
  <c r="AP109" i="32" s="1"/>
  <c r="M109" i="32"/>
  <c r="K109" i="32"/>
  <c r="L109" i="32"/>
  <c r="N109" i="32"/>
  <c r="N119" i="32"/>
  <c r="K119" i="32"/>
  <c r="P119" i="32"/>
  <c r="Q119" i="32" s="1"/>
  <c r="R119" i="32" s="1"/>
  <c r="S119" i="32" s="1"/>
  <c r="T119" i="32" s="1"/>
  <c r="U119" i="32" s="1"/>
  <c r="V119" i="32" s="1"/>
  <c r="W119" i="32" s="1"/>
  <c r="X119" i="32" s="1"/>
  <c r="Y119" i="32" s="1"/>
  <c r="Z119" i="32" s="1"/>
  <c r="AA119" i="32" s="1"/>
  <c r="AB119" i="32" s="1"/>
  <c r="AC119" i="32" s="1"/>
  <c r="AD119" i="32" s="1"/>
  <c r="AE119" i="32" s="1"/>
  <c r="AF119" i="32" s="1"/>
  <c r="AG119" i="32" s="1"/>
  <c r="AH119" i="32" s="1"/>
  <c r="AI119" i="32" s="1"/>
  <c r="AJ119" i="32" s="1"/>
  <c r="AK119" i="32" s="1"/>
  <c r="AL119" i="32" s="1"/>
  <c r="AM119" i="32" s="1"/>
  <c r="AN119" i="32" s="1"/>
  <c r="AO119" i="32" s="1"/>
  <c r="AP119" i="32" s="1"/>
  <c r="L119" i="32"/>
  <c r="K108" i="32"/>
  <c r="M108" i="32"/>
  <c r="P118" i="32"/>
  <c r="Q118" i="32" s="1"/>
  <c r="R118" i="32" s="1"/>
  <c r="S118" i="32" s="1"/>
  <c r="T118" i="32" s="1"/>
  <c r="U118" i="32" s="1"/>
  <c r="V118" i="32" s="1"/>
  <c r="W118" i="32" s="1"/>
  <c r="X118" i="32" s="1"/>
  <c r="Y118" i="32" s="1"/>
  <c r="Z118" i="32" s="1"/>
  <c r="AA118" i="32" s="1"/>
  <c r="AB118" i="32" s="1"/>
  <c r="AC118" i="32" s="1"/>
  <c r="AD118" i="32" s="1"/>
  <c r="AE118" i="32" s="1"/>
  <c r="AF118" i="32" s="1"/>
  <c r="AG118" i="32" s="1"/>
  <c r="AH118" i="32" s="1"/>
  <c r="AI118" i="32" s="1"/>
  <c r="AJ118" i="32" s="1"/>
  <c r="AK118" i="32" s="1"/>
  <c r="AL118" i="32" s="1"/>
  <c r="AM118" i="32" s="1"/>
  <c r="AN118" i="32" s="1"/>
  <c r="AO118" i="32" s="1"/>
  <c r="AP118" i="32" s="1"/>
  <c r="P128" i="32"/>
  <c r="Q128" i="32" s="1"/>
  <c r="R128" i="32" s="1"/>
  <c r="S128" i="32" s="1"/>
  <c r="T128" i="32" s="1"/>
  <c r="U128" i="32" s="1"/>
  <c r="V128" i="32" s="1"/>
  <c r="W128" i="32" s="1"/>
  <c r="X128" i="32" s="1"/>
  <c r="Y128" i="32" s="1"/>
  <c r="Z128" i="32" s="1"/>
  <c r="AA128" i="32" s="1"/>
  <c r="AB128" i="32" s="1"/>
  <c r="AC128" i="32" s="1"/>
  <c r="AD128" i="32" s="1"/>
  <c r="AE128" i="32" s="1"/>
  <c r="AF128" i="32" s="1"/>
  <c r="AG128" i="32" s="1"/>
  <c r="AH128" i="32" s="1"/>
  <c r="AI128" i="32" s="1"/>
  <c r="AJ128" i="32" s="1"/>
  <c r="AK128" i="32" s="1"/>
  <c r="AL128" i="32" s="1"/>
  <c r="AM128" i="32" s="1"/>
  <c r="AN128" i="32" s="1"/>
  <c r="AO128" i="32" s="1"/>
  <c r="AP128" i="32" s="1"/>
  <c r="L108" i="32"/>
  <c r="O107" i="32"/>
  <c r="J107" i="32"/>
  <c r="M107" i="32" l="1"/>
  <c r="L107" i="32"/>
  <c r="P107" i="32"/>
  <c r="Q107" i="32" s="1"/>
  <c r="R107" i="32" s="1"/>
  <c r="S107" i="32" s="1"/>
  <c r="T107" i="32" s="1"/>
  <c r="U107" i="32" s="1"/>
  <c r="V107" i="32" s="1"/>
  <c r="W107" i="32" s="1"/>
  <c r="X107" i="32" s="1"/>
  <c r="Y107" i="32" s="1"/>
  <c r="Z107" i="32" s="1"/>
  <c r="AA107" i="32" s="1"/>
  <c r="AB107" i="32" s="1"/>
  <c r="AC107" i="32" s="1"/>
  <c r="AD107" i="32" s="1"/>
  <c r="AE107" i="32" s="1"/>
  <c r="AF107" i="32" s="1"/>
  <c r="AG107" i="32" s="1"/>
  <c r="AH107" i="32" s="1"/>
  <c r="AI107" i="32" s="1"/>
  <c r="AJ107" i="32" s="1"/>
  <c r="AK107" i="32" s="1"/>
  <c r="AL107" i="32" s="1"/>
  <c r="AM107" i="32" s="1"/>
  <c r="AN107" i="32" s="1"/>
  <c r="AO107" i="32" s="1"/>
  <c r="AP107" i="32" s="1"/>
  <c r="N107" i="32"/>
  <c r="K107" i="32"/>
  <c r="J118" i="32" l="1"/>
  <c r="M118" i="32" l="1"/>
  <c r="L118" i="32"/>
  <c r="K118" i="32"/>
  <c r="N118" i="32"/>
  <c r="J128" i="32"/>
  <c r="M128" i="32" l="1"/>
  <c r="L128" i="32"/>
  <c r="K128" i="32"/>
  <c r="N128" i="32"/>
  <c r="O103" i="32" l="1"/>
  <c r="O121" i="32"/>
  <c r="O110" i="32"/>
  <c r="J121" i="32"/>
  <c r="J93" i="32" s="1"/>
  <c r="J110" i="32"/>
  <c r="J106" i="32"/>
  <c r="G71" i="47" s="1"/>
  <c r="O99" i="32"/>
  <c r="O105" i="32"/>
  <c r="O106" i="32"/>
  <c r="P121" i="32" l="1"/>
  <c r="Q121" i="32" s="1"/>
  <c r="R121" i="32" s="1"/>
  <c r="S121" i="32" s="1"/>
  <c r="T121" i="32" s="1"/>
  <c r="U121" i="32" s="1"/>
  <c r="V121" i="32" s="1"/>
  <c r="W121" i="32" s="1"/>
  <c r="X121" i="32" s="1"/>
  <c r="Y121" i="32" s="1"/>
  <c r="Z121" i="32" s="1"/>
  <c r="AA121" i="32" s="1"/>
  <c r="AB121" i="32" s="1"/>
  <c r="AC121" i="32" s="1"/>
  <c r="AD121" i="32" s="1"/>
  <c r="AE121" i="32" s="1"/>
  <c r="AF121" i="32" s="1"/>
  <c r="AG121" i="32" s="1"/>
  <c r="AH121" i="32" s="1"/>
  <c r="AI121" i="32" s="1"/>
  <c r="AJ121" i="32" s="1"/>
  <c r="AK121" i="32" s="1"/>
  <c r="AL121" i="32" s="1"/>
  <c r="AM121" i="32" s="1"/>
  <c r="AN121" i="32" s="1"/>
  <c r="AO121" i="32" s="1"/>
  <c r="AP121" i="32" s="1"/>
  <c r="G77" i="47"/>
  <c r="J92" i="32"/>
  <c r="O92" i="32"/>
  <c r="L71" i="47"/>
  <c r="N106" i="32"/>
  <c r="K71" i="47" s="1"/>
  <c r="P106" i="32"/>
  <c r="M106" i="32"/>
  <c r="J71" i="47" s="1"/>
  <c r="L106" i="32"/>
  <c r="I71" i="47" s="1"/>
  <c r="K106" i="32"/>
  <c r="H71" i="47" s="1"/>
  <c r="G64" i="47"/>
  <c r="K110" i="32"/>
  <c r="L77" i="47"/>
  <c r="L110" i="32"/>
  <c r="M110" i="32"/>
  <c r="P110" i="32"/>
  <c r="N110" i="32"/>
  <c r="P105" i="32"/>
  <c r="L72" i="47"/>
  <c r="L70" i="47"/>
  <c r="P99" i="32"/>
  <c r="K121" i="32"/>
  <c r="K93" i="32" s="1"/>
  <c r="L64" i="47"/>
  <c r="L121" i="32"/>
  <c r="L93" i="32" s="1"/>
  <c r="N121" i="32"/>
  <c r="M121" i="32"/>
  <c r="P103" i="32"/>
  <c r="Q103" i="32" s="1"/>
  <c r="R103" i="32" s="1"/>
  <c r="S103" i="32" s="1"/>
  <c r="T103" i="32" s="1"/>
  <c r="U103" i="32" s="1"/>
  <c r="V103" i="32" s="1"/>
  <c r="W103" i="32" s="1"/>
  <c r="X103" i="32" s="1"/>
  <c r="Y103" i="32" s="1"/>
  <c r="Z103" i="32" s="1"/>
  <c r="AA103" i="32" s="1"/>
  <c r="AB103" i="32" s="1"/>
  <c r="AC103" i="32" s="1"/>
  <c r="AD103" i="32" s="1"/>
  <c r="AE103" i="32" s="1"/>
  <c r="AF103" i="32" s="1"/>
  <c r="AG103" i="32" s="1"/>
  <c r="AH103" i="32" s="1"/>
  <c r="AI103" i="32" s="1"/>
  <c r="AJ103" i="32" s="1"/>
  <c r="AK103" i="32" s="1"/>
  <c r="AL103" i="32" s="1"/>
  <c r="AM103" i="32" s="1"/>
  <c r="AN103" i="32" s="1"/>
  <c r="AO103" i="32" s="1"/>
  <c r="AP103" i="32" s="1"/>
  <c r="O100" i="32"/>
  <c r="J103" i="32"/>
  <c r="N103" i="32" s="1"/>
  <c r="J105" i="32"/>
  <c r="G72" i="47" s="1"/>
  <c r="O117" i="32"/>
  <c r="O126" i="32"/>
  <c r="O113" i="32"/>
  <c r="O82" i="32" s="1"/>
  <c r="O90" i="32" s="1"/>
  <c r="O124" i="32"/>
  <c r="O116" i="32"/>
  <c r="O127" i="32"/>
  <c r="I77" i="47" l="1"/>
  <c r="L92" i="32"/>
  <c r="M93" i="32"/>
  <c r="H77" i="47"/>
  <c r="K92" i="32"/>
  <c r="K64" i="47"/>
  <c r="N93" i="32"/>
  <c r="K77" i="47"/>
  <c r="N92" i="32"/>
  <c r="J77" i="47"/>
  <c r="O93" i="32"/>
  <c r="P116" i="32"/>
  <c r="L79" i="47"/>
  <c r="L75" i="47"/>
  <c r="L66" i="47"/>
  <c r="P126" i="32"/>
  <c r="L78" i="47"/>
  <c r="P100" i="32"/>
  <c r="L74" i="47"/>
  <c r="M103" i="32"/>
  <c r="K103" i="32"/>
  <c r="M70" i="47"/>
  <c r="Q99" i="32"/>
  <c r="M105" i="32"/>
  <c r="J72" i="47" s="1"/>
  <c r="L105" i="32"/>
  <c r="I72" i="47" s="1"/>
  <c r="L65" i="47"/>
  <c r="P124" i="32"/>
  <c r="Q124" i="32" s="1"/>
  <c r="R124" i="32" s="1"/>
  <c r="S124" i="32" s="1"/>
  <c r="T124" i="32" s="1"/>
  <c r="U124" i="32" s="1"/>
  <c r="V124" i="32" s="1"/>
  <c r="W124" i="32" s="1"/>
  <c r="X124" i="32" s="1"/>
  <c r="Y124" i="32" s="1"/>
  <c r="Z124" i="32" s="1"/>
  <c r="AA124" i="32" s="1"/>
  <c r="AB124" i="32" s="1"/>
  <c r="AC124" i="32" s="1"/>
  <c r="AD124" i="32" s="1"/>
  <c r="AE124" i="32" s="1"/>
  <c r="AF124" i="32" s="1"/>
  <c r="AG124" i="32" s="1"/>
  <c r="AH124" i="32" s="1"/>
  <c r="AI124" i="32" s="1"/>
  <c r="AJ124" i="32" s="1"/>
  <c r="AK124" i="32" s="1"/>
  <c r="AL124" i="32" s="1"/>
  <c r="AM124" i="32" s="1"/>
  <c r="AN124" i="32" s="1"/>
  <c r="AO124" i="32" s="1"/>
  <c r="AP124" i="32" s="1"/>
  <c r="L67" i="47"/>
  <c r="L103" i="32"/>
  <c r="J64" i="47"/>
  <c r="I64" i="47"/>
  <c r="H64" i="47"/>
  <c r="K105" i="32"/>
  <c r="H72" i="47" s="1"/>
  <c r="N105" i="32"/>
  <c r="K72" i="47" s="1"/>
  <c r="Q105" i="32"/>
  <c r="M72" i="47"/>
  <c r="M77" i="47"/>
  <c r="Q110" i="32"/>
  <c r="M71" i="47"/>
  <c r="Q106" i="32"/>
  <c r="O123" i="32"/>
  <c r="O83" i="32" s="1"/>
  <c r="O91" i="32" s="1"/>
  <c r="O115" i="32"/>
  <c r="O114" i="32"/>
  <c r="J100" i="32"/>
  <c r="G74" i="47" s="1"/>
  <c r="J124" i="32"/>
  <c r="G67" i="47" s="1"/>
  <c r="J99" i="32"/>
  <c r="J116" i="32"/>
  <c r="G79" i="47" s="1"/>
  <c r="J127" i="32"/>
  <c r="G65" i="47" s="1"/>
  <c r="J117" i="32"/>
  <c r="O111" i="32"/>
  <c r="P111" i="32" s="1"/>
  <c r="Q111" i="32" s="1"/>
  <c r="R111" i="32" s="1"/>
  <c r="S111" i="32" s="1"/>
  <c r="T111" i="32" s="1"/>
  <c r="U111" i="32" s="1"/>
  <c r="V111" i="32" s="1"/>
  <c r="W111" i="32" s="1"/>
  <c r="X111" i="32" s="1"/>
  <c r="Y111" i="32" s="1"/>
  <c r="Z111" i="32" s="1"/>
  <c r="AA111" i="32" s="1"/>
  <c r="AB111" i="32" s="1"/>
  <c r="AC111" i="32" s="1"/>
  <c r="AD111" i="32" s="1"/>
  <c r="AE111" i="32" s="1"/>
  <c r="AF111" i="32" s="1"/>
  <c r="AG111" i="32" s="1"/>
  <c r="AH111" i="32" s="1"/>
  <c r="AI111" i="32" s="1"/>
  <c r="AJ111" i="32" s="1"/>
  <c r="AK111" i="32" s="1"/>
  <c r="AL111" i="32" s="1"/>
  <c r="AM111" i="32" s="1"/>
  <c r="AN111" i="32" s="1"/>
  <c r="AO111" i="32" s="1"/>
  <c r="AP111" i="32" s="1"/>
  <c r="O102" i="32"/>
  <c r="O74" i="32" l="1"/>
  <c r="O81" i="32"/>
  <c r="O89" i="32" s="1"/>
  <c r="M92" i="32"/>
  <c r="Z117" i="32"/>
  <c r="P93" i="32"/>
  <c r="P127" i="32" s="1"/>
  <c r="M65" i="47" s="1"/>
  <c r="L82" i="47"/>
  <c r="K117" i="32"/>
  <c r="H78" i="47" s="1"/>
  <c r="G78" i="47"/>
  <c r="G70" i="47"/>
  <c r="K99" i="32"/>
  <c r="H70" i="47" s="1"/>
  <c r="N99" i="32"/>
  <c r="K70" i="47" s="1"/>
  <c r="L99" i="32"/>
  <c r="I70" i="47" s="1"/>
  <c r="M99" i="32"/>
  <c r="J70" i="47" s="1"/>
  <c r="L81" i="47"/>
  <c r="P114" i="32"/>
  <c r="L80" i="47"/>
  <c r="P115" i="32"/>
  <c r="L62" i="47"/>
  <c r="R106" i="32"/>
  <c r="N71" i="47"/>
  <c r="R110" i="32"/>
  <c r="N77" i="47"/>
  <c r="R105" i="32"/>
  <c r="N72" i="47"/>
  <c r="P83" i="32"/>
  <c r="M124" i="32"/>
  <c r="J67" i="47" s="1"/>
  <c r="N124" i="32"/>
  <c r="K67" i="47" s="1"/>
  <c r="K127" i="32"/>
  <c r="H65" i="47" s="1"/>
  <c r="N127" i="32"/>
  <c r="K65" i="47" s="1"/>
  <c r="N100" i="32"/>
  <c r="K74" i="47" s="1"/>
  <c r="K100" i="32"/>
  <c r="H74" i="47" s="1"/>
  <c r="M74" i="47"/>
  <c r="Q100" i="32"/>
  <c r="N117" i="32"/>
  <c r="K78" i="47" s="1"/>
  <c r="M78" i="47"/>
  <c r="M66" i="47"/>
  <c r="Q126" i="32"/>
  <c r="M116" i="32"/>
  <c r="J79" i="47" s="1"/>
  <c r="L116" i="32"/>
  <c r="I79" i="47" s="1"/>
  <c r="L68" i="47"/>
  <c r="K124" i="32"/>
  <c r="H67" i="47" s="1"/>
  <c r="L124" i="32"/>
  <c r="I67" i="47" s="1"/>
  <c r="M67" i="47"/>
  <c r="M127" i="32"/>
  <c r="J65" i="47" s="1"/>
  <c r="L127" i="32"/>
  <c r="I65" i="47" s="1"/>
  <c r="R99" i="32"/>
  <c r="N70" i="47"/>
  <c r="M100" i="32"/>
  <c r="J74" i="47" s="1"/>
  <c r="L100" i="32"/>
  <c r="I74" i="47" s="1"/>
  <c r="L117" i="32"/>
  <c r="I78" i="47" s="1"/>
  <c r="M117" i="32"/>
  <c r="J78" i="47" s="1"/>
  <c r="K116" i="32"/>
  <c r="H79" i="47" s="1"/>
  <c r="N116" i="32"/>
  <c r="K79" i="47" s="1"/>
  <c r="Q116" i="32"/>
  <c r="M79" i="47"/>
  <c r="J126" i="32"/>
  <c r="J114" i="32"/>
  <c r="G81" i="47" s="1"/>
  <c r="J111" i="32"/>
  <c r="X117" i="32" l="1"/>
  <c r="V117" i="32"/>
  <c r="T117" i="32"/>
  <c r="R117" i="32"/>
  <c r="Y117" i="32"/>
  <c r="W117" i="32"/>
  <c r="U117" i="32"/>
  <c r="S117" i="32"/>
  <c r="Q117" i="32"/>
  <c r="N78" i="47" s="1"/>
  <c r="K111" i="32"/>
  <c r="G82" i="47"/>
  <c r="G66" i="47"/>
  <c r="K126" i="32"/>
  <c r="H66" i="47" s="1"/>
  <c r="N126" i="32"/>
  <c r="K66" i="47" s="1"/>
  <c r="M126" i="32"/>
  <c r="J66" i="47" s="1"/>
  <c r="L126" i="32"/>
  <c r="I66" i="47" s="1"/>
  <c r="N67" i="47"/>
  <c r="R126" i="32"/>
  <c r="N66" i="47"/>
  <c r="O72" i="47"/>
  <c r="S105" i="32"/>
  <c r="O77" i="47"/>
  <c r="S110" i="32"/>
  <c r="S106" i="32"/>
  <c r="O71" i="47"/>
  <c r="M114" i="32"/>
  <c r="J81" i="47" s="1"/>
  <c r="K114" i="32"/>
  <c r="H81" i="47" s="1"/>
  <c r="M111" i="32"/>
  <c r="N111" i="32"/>
  <c r="K82" i="47" s="1"/>
  <c r="R116" i="32"/>
  <c r="N79" i="47"/>
  <c r="O70" i="47"/>
  <c r="S99" i="32"/>
  <c r="N74" i="47"/>
  <c r="R100" i="32"/>
  <c r="Q83" i="32"/>
  <c r="M64" i="47"/>
  <c r="Q115" i="32"/>
  <c r="M80" i="47"/>
  <c r="L114" i="32"/>
  <c r="I81" i="47" s="1"/>
  <c r="N114" i="32"/>
  <c r="K81" i="47" s="1"/>
  <c r="M81" i="47"/>
  <c r="Q114" i="32"/>
  <c r="L111" i="32"/>
  <c r="J125" i="32"/>
  <c r="O104" i="32"/>
  <c r="O101" i="32"/>
  <c r="O112" i="32"/>
  <c r="O122" i="32"/>
  <c r="AA117" i="32" l="1"/>
  <c r="AE117" i="32"/>
  <c r="AI117" i="32"/>
  <c r="AM117" i="32"/>
  <c r="Q127" i="32"/>
  <c r="N65" i="47" s="1"/>
  <c r="AD117" i="32"/>
  <c r="AH117" i="32"/>
  <c r="AL117" i="32"/>
  <c r="AC117" i="32"/>
  <c r="AG117" i="32"/>
  <c r="AK117" i="32"/>
  <c r="AO117" i="32"/>
  <c r="AB117" i="32"/>
  <c r="AF117" i="32"/>
  <c r="AJ117" i="32"/>
  <c r="AN117" i="32"/>
  <c r="AP117" i="32"/>
  <c r="L63" i="47"/>
  <c r="P122" i="32"/>
  <c r="L76" i="47"/>
  <c r="P112" i="32"/>
  <c r="N81" i="47"/>
  <c r="R114" i="32"/>
  <c r="O79" i="47"/>
  <c r="S116" i="32"/>
  <c r="J82" i="47"/>
  <c r="P71" i="47"/>
  <c r="T106" i="32"/>
  <c r="P101" i="32"/>
  <c r="L69" i="47"/>
  <c r="P104" i="32"/>
  <c r="L73" i="47"/>
  <c r="I82" i="47"/>
  <c r="N80" i="47"/>
  <c r="R115" i="32"/>
  <c r="R83" i="32"/>
  <c r="O74" i="47"/>
  <c r="S100" i="32"/>
  <c r="P70" i="47"/>
  <c r="T99" i="32"/>
  <c r="P77" i="47"/>
  <c r="T110" i="32"/>
  <c r="P72" i="47"/>
  <c r="T105" i="32"/>
  <c r="O78" i="47"/>
  <c r="O66" i="47"/>
  <c r="S126" i="32"/>
  <c r="O67" i="47"/>
  <c r="H82" i="47"/>
  <c r="J123" i="32"/>
  <c r="J83" i="32" s="1"/>
  <c r="J91" i="32" s="1"/>
  <c r="J113" i="32"/>
  <c r="J82" i="32" s="1"/>
  <c r="J90" i="32" s="1"/>
  <c r="J115" i="32"/>
  <c r="J102" i="32"/>
  <c r="R127" i="32" l="1"/>
  <c r="O65" i="47" s="1"/>
  <c r="J74" i="32"/>
  <c r="J81" i="32"/>
  <c r="J89" i="32" s="1"/>
  <c r="G75" i="47"/>
  <c r="M113" i="32"/>
  <c r="L113" i="32"/>
  <c r="K113" i="32"/>
  <c r="N113" i="32"/>
  <c r="G62" i="47"/>
  <c r="N123" i="32"/>
  <c r="K123" i="32"/>
  <c r="L123" i="32"/>
  <c r="M123" i="32"/>
  <c r="P66" i="47"/>
  <c r="T126" i="32"/>
  <c r="U105" i="32"/>
  <c r="Q72" i="47"/>
  <c r="Q77" i="47"/>
  <c r="U110" i="32"/>
  <c r="Q70" i="47"/>
  <c r="U99" i="32"/>
  <c r="P74" i="47"/>
  <c r="T100" i="32"/>
  <c r="Q104" i="32"/>
  <c r="M73" i="47"/>
  <c r="Q101" i="32"/>
  <c r="M69" i="47"/>
  <c r="Q71" i="47"/>
  <c r="U106" i="32"/>
  <c r="P82" i="32"/>
  <c r="P79" i="47"/>
  <c r="T116" i="32"/>
  <c r="O81" i="47"/>
  <c r="S114" i="32"/>
  <c r="Q112" i="32"/>
  <c r="M76" i="47"/>
  <c r="Q122" i="32"/>
  <c r="M63" i="47"/>
  <c r="G68" i="47"/>
  <c r="M102" i="32"/>
  <c r="N102" i="32"/>
  <c r="K102" i="32"/>
  <c r="L102" i="32"/>
  <c r="G80" i="47"/>
  <c r="L115" i="32"/>
  <c r="I80" i="47" s="1"/>
  <c r="M115" i="32"/>
  <c r="J80" i="47" s="1"/>
  <c r="N115" i="32"/>
  <c r="K80" i="47" s="1"/>
  <c r="K115" i="32"/>
  <c r="H80" i="47" s="1"/>
  <c r="P67" i="47"/>
  <c r="P78" i="47"/>
  <c r="S83" i="32"/>
  <c r="O64" i="47"/>
  <c r="O80" i="47"/>
  <c r="S115" i="32"/>
  <c r="J122" i="32"/>
  <c r="J112" i="32"/>
  <c r="J101" i="32"/>
  <c r="J104" i="32"/>
  <c r="S127" i="32" l="1"/>
  <c r="P65" i="47" s="1"/>
  <c r="I68" i="47"/>
  <c r="L74" i="32"/>
  <c r="L81" i="32"/>
  <c r="L89" i="32" s="1"/>
  <c r="K68" i="47"/>
  <c r="N74" i="32"/>
  <c r="N81" i="32"/>
  <c r="N89" i="32" s="1"/>
  <c r="J62" i="47"/>
  <c r="M83" i="32"/>
  <c r="H62" i="47"/>
  <c r="K83" i="32"/>
  <c r="K91" i="32" s="1"/>
  <c r="H75" i="47"/>
  <c r="K82" i="32"/>
  <c r="K90" i="32" s="1"/>
  <c r="J75" i="47"/>
  <c r="M82" i="32"/>
  <c r="M90" i="32" s="1"/>
  <c r="H68" i="47"/>
  <c r="K74" i="32"/>
  <c r="K81" i="32"/>
  <c r="K89" i="32" s="1"/>
  <c r="J68" i="47"/>
  <c r="M74" i="32"/>
  <c r="M81" i="32"/>
  <c r="M89" i="32" s="1"/>
  <c r="I62" i="47"/>
  <c r="L83" i="32"/>
  <c r="L91" i="32" s="1"/>
  <c r="K62" i="47"/>
  <c r="N83" i="32"/>
  <c r="N91" i="32" s="1"/>
  <c r="K75" i="47"/>
  <c r="N82" i="32"/>
  <c r="N90" i="32" s="1"/>
  <c r="I75" i="47"/>
  <c r="L82" i="32"/>
  <c r="L90" i="32" s="1"/>
  <c r="G73" i="47"/>
  <c r="N104" i="32"/>
  <c r="K73" i="47" s="1"/>
  <c r="L104" i="32"/>
  <c r="I73" i="47" s="1"/>
  <c r="K104" i="32"/>
  <c r="H73" i="47" s="1"/>
  <c r="M104" i="32"/>
  <c r="J73" i="47" s="1"/>
  <c r="G76" i="47"/>
  <c r="M112" i="32"/>
  <c r="J76" i="47" s="1"/>
  <c r="L112" i="32"/>
  <c r="I76" i="47" s="1"/>
  <c r="K112" i="32"/>
  <c r="H76" i="47" s="1"/>
  <c r="N112" i="32"/>
  <c r="K76" i="47" s="1"/>
  <c r="G63" i="47"/>
  <c r="L122" i="32"/>
  <c r="I63" i="47" s="1"/>
  <c r="M122" i="32"/>
  <c r="J63" i="47" s="1"/>
  <c r="K122" i="32"/>
  <c r="H63" i="47" s="1"/>
  <c r="N122" i="32"/>
  <c r="K63" i="47" s="1"/>
  <c r="T115" i="32"/>
  <c r="P80" i="47"/>
  <c r="T83" i="32"/>
  <c r="S91" i="32"/>
  <c r="P64" i="47" s="1"/>
  <c r="Q67" i="47"/>
  <c r="R122" i="32"/>
  <c r="N63" i="47"/>
  <c r="N76" i="47"/>
  <c r="R112" i="32"/>
  <c r="Q82" i="32"/>
  <c r="R71" i="47"/>
  <c r="V106" i="32"/>
  <c r="R101" i="32"/>
  <c r="N69" i="47"/>
  <c r="N73" i="47"/>
  <c r="R104" i="32"/>
  <c r="V105" i="32"/>
  <c r="R72" i="47"/>
  <c r="G69" i="47"/>
  <c r="J77" i="32"/>
  <c r="K101" i="32"/>
  <c r="N101" i="32"/>
  <c r="M101" i="32"/>
  <c r="L101" i="32"/>
  <c r="Q78" i="47"/>
  <c r="P81" i="47"/>
  <c r="T114" i="32"/>
  <c r="Q79" i="47"/>
  <c r="U116" i="32"/>
  <c r="P90" i="32"/>
  <c r="P113" i="32" s="1"/>
  <c r="M75" i="47" s="1"/>
  <c r="Q74" i="47"/>
  <c r="U100" i="32"/>
  <c r="V99" i="32"/>
  <c r="R70" i="47"/>
  <c r="R77" i="47"/>
  <c r="V110" i="32"/>
  <c r="Q66" i="47"/>
  <c r="U126" i="32"/>
  <c r="S123" i="32" l="1"/>
  <c r="P62" i="47" s="1"/>
  <c r="T127" i="32"/>
  <c r="Q65" i="47" s="1"/>
  <c r="M91" i="32"/>
  <c r="P91" i="32"/>
  <c r="P123" i="32" s="1"/>
  <c r="M62" i="47" s="1"/>
  <c r="Q91" i="32"/>
  <c r="R91" i="32"/>
  <c r="R123" i="32" s="1"/>
  <c r="O62" i="47" s="1"/>
  <c r="R66" i="47"/>
  <c r="V126" i="32"/>
  <c r="S77" i="47"/>
  <c r="W110" i="32"/>
  <c r="V100" i="32"/>
  <c r="R74" i="47"/>
  <c r="V116" i="32"/>
  <c r="R79" i="47"/>
  <c r="Q81" i="47"/>
  <c r="U114" i="32"/>
  <c r="R78" i="47"/>
  <c r="L77" i="32"/>
  <c r="I69" i="47"/>
  <c r="K69" i="47"/>
  <c r="S72" i="47"/>
  <c r="W105" i="32"/>
  <c r="S71" i="47"/>
  <c r="W106" i="32"/>
  <c r="R82" i="32"/>
  <c r="Q90" i="32"/>
  <c r="Q113" i="32" s="1"/>
  <c r="N75" i="47" s="1"/>
  <c r="O76" i="47"/>
  <c r="S112" i="32"/>
  <c r="R67" i="47"/>
  <c r="U83" i="32"/>
  <c r="Q64" i="47"/>
  <c r="T91" i="32"/>
  <c r="T123" i="32" s="1"/>
  <c r="Q62" i="47" s="1"/>
  <c r="Q80" i="47"/>
  <c r="U115" i="32"/>
  <c r="W99" i="32"/>
  <c r="S70" i="47"/>
  <c r="J69" i="47"/>
  <c r="K77" i="32"/>
  <c r="H69" i="47"/>
  <c r="S104" i="32"/>
  <c r="O73" i="47"/>
  <c r="S101" i="32"/>
  <c r="O69" i="47"/>
  <c r="M82" i="47"/>
  <c r="O63" i="47"/>
  <c r="S122" i="32"/>
  <c r="U127" i="32" l="1"/>
  <c r="R65" i="47" s="1"/>
  <c r="N64" i="47"/>
  <c r="Q123" i="32"/>
  <c r="N62" i="47" s="1"/>
  <c r="P63" i="47"/>
  <c r="T122" i="32"/>
  <c r="T101" i="32"/>
  <c r="P69" i="47"/>
  <c r="P73" i="47"/>
  <c r="T104" i="32"/>
  <c r="N77" i="32"/>
  <c r="O77" i="32"/>
  <c r="M77" i="32"/>
  <c r="X99" i="32"/>
  <c r="T70" i="47"/>
  <c r="S67" i="47"/>
  <c r="T112" i="32"/>
  <c r="P76" i="47"/>
  <c r="N82" i="47"/>
  <c r="S78" i="47"/>
  <c r="R81" i="47"/>
  <c r="V114" i="32"/>
  <c r="T77" i="47"/>
  <c r="X110" i="32"/>
  <c r="S66" i="47"/>
  <c r="W126" i="32"/>
  <c r="P81" i="32"/>
  <c r="R80" i="47"/>
  <c r="V115" i="32"/>
  <c r="V83" i="32"/>
  <c r="R64" i="47"/>
  <c r="U91" i="32"/>
  <c r="U123" i="32" s="1"/>
  <c r="R62" i="47" s="1"/>
  <c r="S82" i="32"/>
  <c r="R90" i="32"/>
  <c r="R113" i="32" s="1"/>
  <c r="O75" i="47" s="1"/>
  <c r="T71" i="47"/>
  <c r="X106" i="32"/>
  <c r="X105" i="32"/>
  <c r="T72" i="47"/>
  <c r="S79" i="47"/>
  <c r="W116" i="32"/>
  <c r="W100" i="32"/>
  <c r="S74" i="47"/>
  <c r="V127" i="32" l="1"/>
  <c r="S65" i="47" s="1"/>
  <c r="Q81" i="32"/>
  <c r="R81" i="32" s="1"/>
  <c r="P89" i="32"/>
  <c r="P102" i="32" s="1"/>
  <c r="X100" i="32"/>
  <c r="T74" i="47"/>
  <c r="U72" i="47"/>
  <c r="Y105" i="32"/>
  <c r="T82" i="32"/>
  <c r="S90" i="32"/>
  <c r="S113" i="32" s="1"/>
  <c r="P75" i="47" s="1"/>
  <c r="W83" i="32"/>
  <c r="V91" i="32"/>
  <c r="S64" i="47" s="1"/>
  <c r="U112" i="32"/>
  <c r="Q76" i="47"/>
  <c r="T67" i="47"/>
  <c r="U70" i="47"/>
  <c r="Y99" i="32"/>
  <c r="U122" i="32"/>
  <c r="Q63" i="47"/>
  <c r="T79" i="47"/>
  <c r="X116" i="32"/>
  <c r="U71" i="47"/>
  <c r="Y106" i="32"/>
  <c r="O82" i="47"/>
  <c r="S80" i="47"/>
  <c r="W115" i="32"/>
  <c r="X126" i="32"/>
  <c r="T66" i="47"/>
  <c r="U77" i="47"/>
  <c r="Y110" i="32"/>
  <c r="W114" i="32"/>
  <c r="S81" i="47"/>
  <c r="T78" i="47"/>
  <c r="U104" i="32"/>
  <c r="Q73" i="47"/>
  <c r="U101" i="32"/>
  <c r="Q69" i="47"/>
  <c r="W127" i="32" l="1"/>
  <c r="T65" i="47" s="1"/>
  <c r="V123" i="32"/>
  <c r="S62" i="47" s="1"/>
  <c r="Q89" i="32"/>
  <c r="Q102" i="32" s="1"/>
  <c r="S81" i="32"/>
  <c r="R89" i="32"/>
  <c r="R102" i="32" s="1"/>
  <c r="P74" i="32"/>
  <c r="P77" i="32" s="1"/>
  <c r="M68" i="47"/>
  <c r="Z110" i="32"/>
  <c r="V77" i="47"/>
  <c r="X115" i="32"/>
  <c r="T80" i="47"/>
  <c r="Z106" i="32"/>
  <c r="V71" i="47"/>
  <c r="U79" i="47"/>
  <c r="Y116" i="32"/>
  <c r="Z99" i="32"/>
  <c r="V70" i="47"/>
  <c r="X83" i="32"/>
  <c r="W91" i="32"/>
  <c r="T64" i="47" s="1"/>
  <c r="U82" i="32"/>
  <c r="T90" i="32"/>
  <c r="T113" i="32" s="1"/>
  <c r="Q75" i="47" s="1"/>
  <c r="Z105" i="32"/>
  <c r="V72" i="47"/>
  <c r="V101" i="32"/>
  <c r="R69" i="47"/>
  <c r="R73" i="47"/>
  <c r="V104" i="32"/>
  <c r="U78" i="47"/>
  <c r="X114" i="32"/>
  <c r="T81" i="47"/>
  <c r="Y126" i="32"/>
  <c r="U66" i="47"/>
  <c r="V122" i="32"/>
  <c r="R63" i="47"/>
  <c r="U67" i="47"/>
  <c r="V112" i="32"/>
  <c r="R76" i="47"/>
  <c r="P82" i="47"/>
  <c r="U74" i="47"/>
  <c r="Y100" i="32"/>
  <c r="X127" i="32" l="1"/>
  <c r="U65" i="47" s="1"/>
  <c r="W123" i="32"/>
  <c r="T62" i="47" s="1"/>
  <c r="S89" i="32"/>
  <c r="S102" i="32" s="1"/>
  <c r="T81" i="32"/>
  <c r="Q74" i="32"/>
  <c r="Q77" i="32" s="1"/>
  <c r="N68" i="47"/>
  <c r="Y127" i="32"/>
  <c r="V65" i="47" s="1"/>
  <c r="W112" i="32"/>
  <c r="S76" i="47"/>
  <c r="V67" i="47"/>
  <c r="W122" i="32"/>
  <c r="S63" i="47"/>
  <c r="Z126" i="32"/>
  <c r="V66" i="47"/>
  <c r="Y114" i="32"/>
  <c r="U81" i="47"/>
  <c r="V78" i="47"/>
  <c r="V82" i="32"/>
  <c r="U90" i="32"/>
  <c r="U113" i="32" s="1"/>
  <c r="R75" i="47" s="1"/>
  <c r="Y83" i="32"/>
  <c r="X91" i="32"/>
  <c r="U64" i="47" s="1"/>
  <c r="Z116" i="32"/>
  <c r="V79" i="47"/>
  <c r="Z100" i="32"/>
  <c r="V74" i="47"/>
  <c r="S73" i="47"/>
  <c r="W104" i="32"/>
  <c r="W101" i="32"/>
  <c r="S69" i="47"/>
  <c r="AA105" i="32"/>
  <c r="W72" i="47"/>
  <c r="Q82" i="47"/>
  <c r="AA99" i="32"/>
  <c r="W70" i="47"/>
  <c r="W71" i="47"/>
  <c r="AA106" i="32"/>
  <c r="U80" i="47"/>
  <c r="Y115" i="32"/>
  <c r="AA110" i="32"/>
  <c r="W77" i="47"/>
  <c r="X123" i="32" l="1"/>
  <c r="U62" i="47" s="1"/>
  <c r="U81" i="32"/>
  <c r="T89" i="32"/>
  <c r="T102" i="32" s="1"/>
  <c r="R74" i="32"/>
  <c r="R77" i="32" s="1"/>
  <c r="O68" i="47"/>
  <c r="X77" i="47"/>
  <c r="AB110" i="32"/>
  <c r="AB99" i="32"/>
  <c r="X70" i="47"/>
  <c r="AB105" i="32"/>
  <c r="X72" i="47"/>
  <c r="T73" i="47"/>
  <c r="X104" i="32"/>
  <c r="W82" i="32"/>
  <c r="V90" i="32"/>
  <c r="V113" i="32" s="1"/>
  <c r="S75" i="47" s="1"/>
  <c r="Z115" i="32"/>
  <c r="V80" i="47"/>
  <c r="X71" i="47"/>
  <c r="AB106" i="32"/>
  <c r="X101" i="32"/>
  <c r="T69" i="47"/>
  <c r="W74" i="47"/>
  <c r="AA100" i="32"/>
  <c r="W79" i="47"/>
  <c r="AA116" i="32"/>
  <c r="Z83" i="32"/>
  <c r="Y91" i="32"/>
  <c r="V64" i="47" s="1"/>
  <c r="R82" i="47"/>
  <c r="W78" i="47"/>
  <c r="Z114" i="32"/>
  <c r="V81" i="47"/>
  <c r="W66" i="47"/>
  <c r="AA126" i="32"/>
  <c r="T63" i="47"/>
  <c r="X122" i="32"/>
  <c r="W67" i="47"/>
  <c r="X112" i="32"/>
  <c r="T76" i="47"/>
  <c r="Z127" i="32" l="1"/>
  <c r="W65" i="47" s="1"/>
  <c r="Y123" i="32"/>
  <c r="V62" i="47" s="1"/>
  <c r="V81" i="32"/>
  <c r="U89" i="32"/>
  <c r="U102" i="32" s="1"/>
  <c r="S74" i="32"/>
  <c r="S77" i="32" s="1"/>
  <c r="P68" i="47"/>
  <c r="AA127" i="32"/>
  <c r="U76" i="47"/>
  <c r="Y112" i="32"/>
  <c r="AA114" i="32"/>
  <c r="W81" i="47"/>
  <c r="X78" i="47"/>
  <c r="AA83" i="32"/>
  <c r="Z91" i="32"/>
  <c r="W64" i="47" s="1"/>
  <c r="AB116" i="32"/>
  <c r="X79" i="47"/>
  <c r="X74" i="47"/>
  <c r="AB100" i="32"/>
  <c r="U69" i="47"/>
  <c r="Y101" i="32"/>
  <c r="W80" i="47"/>
  <c r="AA115" i="32"/>
  <c r="X65" i="47"/>
  <c r="X82" i="32"/>
  <c r="W90" i="32"/>
  <c r="W113" i="32" s="1"/>
  <c r="T75" i="47" s="1"/>
  <c r="U73" i="47"/>
  <c r="Y104" i="32"/>
  <c r="Y77" i="47"/>
  <c r="AC110" i="32"/>
  <c r="X67" i="47"/>
  <c r="U63" i="47"/>
  <c r="Y122" i="32"/>
  <c r="AB126" i="32"/>
  <c r="X66" i="47"/>
  <c r="Y71" i="47"/>
  <c r="AC106" i="32"/>
  <c r="S82" i="47"/>
  <c r="AC105" i="32"/>
  <c r="Y72" i="47"/>
  <c r="Y70" i="47"/>
  <c r="AC99" i="32"/>
  <c r="Z123" i="32" l="1"/>
  <c r="W62" i="47" s="1"/>
  <c r="V89" i="32"/>
  <c r="V102" i="32" s="1"/>
  <c r="W81" i="32"/>
  <c r="T74" i="32"/>
  <c r="T77" i="32" s="1"/>
  <c r="Q68" i="47"/>
  <c r="Z72" i="47"/>
  <c r="AD105" i="32"/>
  <c r="Y66" i="47"/>
  <c r="AC126" i="32"/>
  <c r="Y67" i="47"/>
  <c r="Y82" i="32"/>
  <c r="X90" i="32"/>
  <c r="X113" i="32" s="1"/>
  <c r="U75" i="47" s="1"/>
  <c r="AB115" i="32"/>
  <c r="X80" i="47"/>
  <c r="Y79" i="47"/>
  <c r="AC116" i="32"/>
  <c r="AB83" i="32"/>
  <c r="AA91" i="32"/>
  <c r="X64" i="47" s="1"/>
  <c r="Z112" i="32"/>
  <c r="V76" i="47"/>
  <c r="AD99" i="32"/>
  <c r="Z70" i="47"/>
  <c r="AD106" i="32"/>
  <c r="Z71" i="47"/>
  <c r="V63" i="47"/>
  <c r="Z122" i="32"/>
  <c r="AD110" i="32"/>
  <c r="Z77" i="47"/>
  <c r="V73" i="47"/>
  <c r="Z104" i="32"/>
  <c r="T82" i="47"/>
  <c r="V69" i="47"/>
  <c r="Z101" i="32"/>
  <c r="Y74" i="47"/>
  <c r="AC100" i="32"/>
  <c r="Y78" i="47"/>
  <c r="X81" i="47"/>
  <c r="AB114" i="32"/>
  <c r="AB127" i="32" l="1"/>
  <c r="Y65" i="47" s="1"/>
  <c r="AA123" i="32"/>
  <c r="X62" i="47" s="1"/>
  <c r="W89" i="32"/>
  <c r="W102" i="32" s="1"/>
  <c r="X81" i="32"/>
  <c r="U74" i="32"/>
  <c r="U77" i="32" s="1"/>
  <c r="R68" i="47"/>
  <c r="Z78" i="47"/>
  <c r="AA101" i="32"/>
  <c r="W69" i="47"/>
  <c r="AA104" i="32"/>
  <c r="W73" i="47"/>
  <c r="W63" i="47"/>
  <c r="AA122" i="32"/>
  <c r="AC83" i="32"/>
  <c r="AB91" i="32"/>
  <c r="Y64" i="47" s="1"/>
  <c r="AC115" i="32"/>
  <c r="Y80" i="47"/>
  <c r="Z82" i="32"/>
  <c r="Y90" i="32"/>
  <c r="Y113" i="32" s="1"/>
  <c r="V75" i="47" s="1"/>
  <c r="AD126" i="32"/>
  <c r="Z66" i="47"/>
  <c r="AA72" i="47"/>
  <c r="AE105" i="32"/>
  <c r="Y81" i="47"/>
  <c r="AC114" i="32"/>
  <c r="AD100" i="32"/>
  <c r="Z74" i="47"/>
  <c r="AA77" i="47"/>
  <c r="AE110" i="32"/>
  <c r="AE106" i="32"/>
  <c r="AA71" i="47"/>
  <c r="AE99" i="32"/>
  <c r="AA70" i="47"/>
  <c r="W76" i="47"/>
  <c r="AA112" i="32"/>
  <c r="Z79" i="47"/>
  <c r="AD116" i="32"/>
  <c r="U82" i="47"/>
  <c r="Z67" i="47"/>
  <c r="AC127" i="32" l="1"/>
  <c r="Z65" i="47" s="1"/>
  <c r="AB123" i="32"/>
  <c r="Y62" i="47" s="1"/>
  <c r="X89" i="32"/>
  <c r="X102" i="32" s="1"/>
  <c r="Y81" i="32"/>
  <c r="V74" i="32"/>
  <c r="V77" i="32" s="1"/>
  <c r="S68" i="47"/>
  <c r="AB70" i="47"/>
  <c r="AF99" i="32"/>
  <c r="AF106" i="32"/>
  <c r="AB71" i="47"/>
  <c r="AE100" i="32"/>
  <c r="AA74" i="47"/>
  <c r="AE126" i="32"/>
  <c r="AA66" i="47"/>
  <c r="AA82" i="32"/>
  <c r="Z90" i="32"/>
  <c r="Z113" i="32" s="1"/>
  <c r="W75" i="47" s="1"/>
  <c r="AB104" i="32"/>
  <c r="X73" i="47"/>
  <c r="AA67" i="47"/>
  <c r="AE116" i="32"/>
  <c r="AA79" i="47"/>
  <c r="AB112" i="32"/>
  <c r="X76" i="47"/>
  <c r="AB77" i="47"/>
  <c r="AF110" i="32"/>
  <c r="AD114" i="32"/>
  <c r="Z81" i="47"/>
  <c r="AF105" i="32"/>
  <c r="AB72" i="47"/>
  <c r="V82" i="47"/>
  <c r="AD115" i="32"/>
  <c r="Z80" i="47"/>
  <c r="AD83" i="32"/>
  <c r="AC91" i="32"/>
  <c r="Z64" i="47" s="1"/>
  <c r="X63" i="47"/>
  <c r="AB122" i="32"/>
  <c r="X69" i="47"/>
  <c r="AB101" i="32"/>
  <c r="AA78" i="47"/>
  <c r="AD127" i="32" l="1"/>
  <c r="AA65" i="47" s="1"/>
  <c r="AC123" i="32"/>
  <c r="Z62" i="47" s="1"/>
  <c r="Z81" i="32"/>
  <c r="Y89" i="32"/>
  <c r="Y102" i="32" s="1"/>
  <c r="T68" i="47"/>
  <c r="W74" i="32"/>
  <c r="W77" i="32" s="1"/>
  <c r="AB78" i="47"/>
  <c r="Y69" i="47"/>
  <c r="AC101" i="32"/>
  <c r="Y63" i="47"/>
  <c r="AC122" i="32"/>
  <c r="AE83" i="32"/>
  <c r="AD91" i="32"/>
  <c r="AA64" i="47" s="1"/>
  <c r="AA80" i="47"/>
  <c r="AE115" i="32"/>
  <c r="AC72" i="47"/>
  <c r="AG105" i="32"/>
  <c r="AA81" i="47"/>
  <c r="AE114" i="32"/>
  <c r="AC112" i="32"/>
  <c r="Y76" i="47"/>
  <c r="AB79" i="47"/>
  <c r="AF116" i="32"/>
  <c r="AB67" i="47"/>
  <c r="AC104" i="32"/>
  <c r="Y73" i="47"/>
  <c r="W82" i="47"/>
  <c r="AG99" i="32"/>
  <c r="AC70" i="47"/>
  <c r="AC77" i="47"/>
  <c r="AG110" i="32"/>
  <c r="AB82" i="32"/>
  <c r="AA90" i="32"/>
  <c r="AA113" i="32" s="1"/>
  <c r="X75" i="47" s="1"/>
  <c r="AB66" i="47"/>
  <c r="AF126" i="32"/>
  <c r="AF100" i="32"/>
  <c r="AB74" i="47"/>
  <c r="AC71" i="47"/>
  <c r="AG106" i="32"/>
  <c r="AE127" i="32" l="1"/>
  <c r="AB65" i="47" s="1"/>
  <c r="AD123" i="32"/>
  <c r="AA62" i="47" s="1"/>
  <c r="Z89" i="32"/>
  <c r="Z102" i="32" s="1"/>
  <c r="AA81" i="32"/>
  <c r="X74" i="32"/>
  <c r="X77" i="32" s="1"/>
  <c r="U68" i="47"/>
  <c r="AC74" i="47"/>
  <c r="AG100" i="32"/>
  <c r="X82" i="47"/>
  <c r="AD77" i="47"/>
  <c r="AH110" i="32"/>
  <c r="AC67" i="47"/>
  <c r="AC79" i="47"/>
  <c r="AG116" i="32"/>
  <c r="AB81" i="47"/>
  <c r="AF114" i="32"/>
  <c r="AD72" i="47"/>
  <c r="AH105" i="32"/>
  <c r="AB80" i="47"/>
  <c r="AF115" i="32"/>
  <c r="AF83" i="32"/>
  <c r="AE91" i="32"/>
  <c r="AB64" i="47" s="1"/>
  <c r="AD101" i="32"/>
  <c r="Z69" i="47"/>
  <c r="AH106" i="32"/>
  <c r="AD71" i="47"/>
  <c r="AC66" i="47"/>
  <c r="AG126" i="32"/>
  <c r="AC82" i="32"/>
  <c r="AB90" i="32"/>
  <c r="AB113" i="32" s="1"/>
  <c r="Y75" i="47" s="1"/>
  <c r="AD70" i="47"/>
  <c r="AH99" i="32"/>
  <c r="AD104" i="32"/>
  <c r="Z73" i="47"/>
  <c r="Z76" i="47"/>
  <c r="AD112" i="32"/>
  <c r="Z63" i="47"/>
  <c r="AD122" i="32"/>
  <c r="AC78" i="47"/>
  <c r="AF127" i="32" l="1"/>
  <c r="AC65" i="47" s="1"/>
  <c r="AE123" i="32"/>
  <c r="AB62" i="47" s="1"/>
  <c r="AA89" i="32"/>
  <c r="AA102" i="32" s="1"/>
  <c r="AB81" i="32"/>
  <c r="Y74" i="32"/>
  <c r="Y77" i="32" s="1"/>
  <c r="V68" i="47"/>
  <c r="AD78" i="47"/>
  <c r="AE104" i="32"/>
  <c r="AA73" i="47"/>
  <c r="AD82" i="32"/>
  <c r="AC90" i="32"/>
  <c r="AC113" i="32" s="1"/>
  <c r="Z75" i="47" s="1"/>
  <c r="AH126" i="32"/>
  <c r="AD66" i="47"/>
  <c r="AE101" i="32"/>
  <c r="AA69" i="47"/>
  <c r="AG83" i="32"/>
  <c r="AF91" i="32"/>
  <c r="AC64" i="47" s="1"/>
  <c r="AG115" i="32"/>
  <c r="AC80" i="47"/>
  <c r="AI105" i="32"/>
  <c r="AE72" i="47"/>
  <c r="AG114" i="32"/>
  <c r="AC81" i="47"/>
  <c r="AH116" i="32"/>
  <c r="AD79" i="47"/>
  <c r="AD67" i="47"/>
  <c r="AI110" i="32"/>
  <c r="AE77" i="47"/>
  <c r="AH100" i="32"/>
  <c r="AD74" i="47"/>
  <c r="AE122" i="32"/>
  <c r="AA63" i="47"/>
  <c r="AE112" i="32"/>
  <c r="AA76" i="47"/>
  <c r="AE70" i="47"/>
  <c r="AI99" i="32"/>
  <c r="Y82" i="47"/>
  <c r="AE71" i="47"/>
  <c r="AI106" i="32"/>
  <c r="AG127" i="32" l="1"/>
  <c r="AD65" i="47" s="1"/>
  <c r="AF123" i="32"/>
  <c r="AC62" i="47" s="1"/>
  <c r="AB89" i="32"/>
  <c r="AB102" i="32" s="1"/>
  <c r="AC81" i="32"/>
  <c r="Z74" i="32"/>
  <c r="Z77" i="32" s="1"/>
  <c r="W68" i="47"/>
  <c r="AB76" i="47"/>
  <c r="AF112" i="32"/>
  <c r="AB63" i="47"/>
  <c r="AF122" i="32"/>
  <c r="AE74" i="47"/>
  <c r="AI100" i="32"/>
  <c r="AF77" i="47"/>
  <c r="AJ110" i="32"/>
  <c r="AE67" i="47"/>
  <c r="AE79" i="47"/>
  <c r="AI116" i="32"/>
  <c r="AD81" i="47"/>
  <c r="AH114" i="32"/>
  <c r="AF72" i="47"/>
  <c r="AJ105" i="32"/>
  <c r="AH115" i="32"/>
  <c r="AD80" i="47"/>
  <c r="AH83" i="32"/>
  <c r="AG91" i="32"/>
  <c r="AD64" i="47" s="1"/>
  <c r="AF101" i="32"/>
  <c r="AB69" i="47"/>
  <c r="AE66" i="47"/>
  <c r="AI126" i="32"/>
  <c r="AE82" i="32"/>
  <c r="AD90" i="32"/>
  <c r="AD113" i="32" s="1"/>
  <c r="AA75" i="47" s="1"/>
  <c r="AE78" i="47"/>
  <c r="AF71" i="47"/>
  <c r="AJ106" i="32"/>
  <c r="AJ99" i="32"/>
  <c r="AF70" i="47"/>
  <c r="Z82" i="47"/>
  <c r="AF104" i="32"/>
  <c r="AB73" i="47"/>
  <c r="AH127" i="32" l="1"/>
  <c r="AE65" i="47" s="1"/>
  <c r="AG123" i="32"/>
  <c r="AD62" i="47" s="1"/>
  <c r="AC89" i="32"/>
  <c r="AC102" i="32" s="1"/>
  <c r="AD81" i="32"/>
  <c r="X68" i="47"/>
  <c r="AA74" i="32"/>
  <c r="AA77" i="32" s="1"/>
  <c r="AC73" i="47"/>
  <c r="AG104" i="32"/>
  <c r="AG70" i="47"/>
  <c r="AK99" i="32"/>
  <c r="AF82" i="32"/>
  <c r="AE90" i="32"/>
  <c r="AE113" i="32" s="1"/>
  <c r="AB75" i="47" s="1"/>
  <c r="AJ126" i="32"/>
  <c r="AF66" i="47"/>
  <c r="AC69" i="47"/>
  <c r="AG101" i="32"/>
  <c r="AG72" i="47"/>
  <c r="AK105" i="32"/>
  <c r="AE81" i="47"/>
  <c r="AI114" i="32"/>
  <c r="AF79" i="47"/>
  <c r="AJ116" i="32"/>
  <c r="AK110" i="32"/>
  <c r="AG77" i="47"/>
  <c r="AF74" i="47"/>
  <c r="AJ100" i="32"/>
  <c r="AC63" i="47"/>
  <c r="AG122" i="32"/>
  <c r="AG112" i="32"/>
  <c r="AC76" i="47"/>
  <c r="AG71" i="47"/>
  <c r="AK106" i="32"/>
  <c r="AF78" i="47"/>
  <c r="AA82" i="47"/>
  <c r="AI83" i="32"/>
  <c r="AH91" i="32"/>
  <c r="AE64" i="47" s="1"/>
  <c r="AE80" i="47"/>
  <c r="AI115" i="32"/>
  <c r="AF67" i="47"/>
  <c r="AI127" i="32" l="1"/>
  <c r="AF65" i="47" s="1"/>
  <c r="AH123" i="32"/>
  <c r="AE62" i="47" s="1"/>
  <c r="AD89" i="32"/>
  <c r="AD102" i="32" s="1"/>
  <c r="AE81" i="32"/>
  <c r="Y68" i="47"/>
  <c r="AB74" i="32"/>
  <c r="AB77" i="32" s="1"/>
  <c r="AJ83" i="32"/>
  <c r="AI91" i="32"/>
  <c r="AF64" i="47" s="1"/>
  <c r="AL106" i="32"/>
  <c r="AH71" i="47"/>
  <c r="AD63" i="47"/>
  <c r="AH122" i="32"/>
  <c r="AG74" i="47"/>
  <c r="AK100" i="32"/>
  <c r="AK116" i="32"/>
  <c r="AG79" i="47"/>
  <c r="AF81" i="47"/>
  <c r="AJ114" i="32"/>
  <c r="AH72" i="47"/>
  <c r="AL105" i="32"/>
  <c r="AG66" i="47"/>
  <c r="AK126" i="32"/>
  <c r="AB82" i="47"/>
  <c r="AL99" i="32"/>
  <c r="AH70" i="47"/>
  <c r="AD73" i="47"/>
  <c r="AH104" i="32"/>
  <c r="AG67" i="47"/>
  <c r="AJ115" i="32"/>
  <c r="AF80" i="47"/>
  <c r="AG78" i="47"/>
  <c r="AD76" i="47"/>
  <c r="AH112" i="32"/>
  <c r="AL110" i="32"/>
  <c r="AH77" i="47"/>
  <c r="AD69" i="47"/>
  <c r="AH101" i="32"/>
  <c r="AG82" i="32"/>
  <c r="AF90" i="32"/>
  <c r="AF113" i="32" s="1"/>
  <c r="AC75" i="47" s="1"/>
  <c r="AI123" i="32" l="1"/>
  <c r="AF62" i="47" s="1"/>
  <c r="AJ127" i="32"/>
  <c r="AG65" i="47" s="1"/>
  <c r="AE89" i="32"/>
  <c r="AE102" i="32" s="1"/>
  <c r="AF81" i="32"/>
  <c r="AC74" i="32"/>
  <c r="AC77" i="32" s="1"/>
  <c r="Z68" i="47"/>
  <c r="AC82" i="47"/>
  <c r="AM110" i="32"/>
  <c r="AI77" i="47"/>
  <c r="AK115" i="32"/>
  <c r="AG80" i="47"/>
  <c r="AI70" i="47"/>
  <c r="AM99" i="32"/>
  <c r="AH79" i="47"/>
  <c r="AL116" i="32"/>
  <c r="AI71" i="47"/>
  <c r="AM106" i="32"/>
  <c r="AK83" i="32"/>
  <c r="AJ91" i="32"/>
  <c r="AG64" i="47" s="1"/>
  <c r="AH82" i="32"/>
  <c r="AG90" i="32"/>
  <c r="AG113" i="32" s="1"/>
  <c r="AD75" i="47" s="1"/>
  <c r="AI101" i="32"/>
  <c r="AE69" i="47"/>
  <c r="AE76" i="47"/>
  <c r="AI112" i="32"/>
  <c r="AH78" i="47"/>
  <c r="AH67" i="47"/>
  <c r="AE73" i="47"/>
  <c r="AI104" i="32"/>
  <c r="AL126" i="32"/>
  <c r="AH66" i="47"/>
  <c r="AM105" i="32"/>
  <c r="AI72" i="47"/>
  <c r="AK114" i="32"/>
  <c r="AG81" i="47"/>
  <c r="AL100" i="32"/>
  <c r="AH74" i="47"/>
  <c r="AE63" i="47"/>
  <c r="AI122" i="32"/>
  <c r="AK127" i="32" l="1"/>
  <c r="AH65" i="47" s="1"/>
  <c r="AJ123" i="32"/>
  <c r="AG62" i="47" s="1"/>
  <c r="AG81" i="32"/>
  <c r="AF89" i="32"/>
  <c r="AF102" i="32" s="1"/>
  <c r="AA68" i="47"/>
  <c r="AD74" i="32"/>
  <c r="AD77" i="32" s="1"/>
  <c r="AM100" i="32"/>
  <c r="AI74" i="47"/>
  <c r="AH81" i="47"/>
  <c r="AL114" i="32"/>
  <c r="AJ72" i="47"/>
  <c r="AN105" i="32"/>
  <c r="AI66" i="47"/>
  <c r="AM126" i="32"/>
  <c r="AI67" i="47"/>
  <c r="AI78" i="47"/>
  <c r="AI82" i="32"/>
  <c r="AH90" i="32"/>
  <c r="AH113" i="32" s="1"/>
  <c r="AE75" i="47" s="1"/>
  <c r="AJ71" i="47"/>
  <c r="AN106" i="32"/>
  <c r="AM116" i="32"/>
  <c r="AI79" i="47"/>
  <c r="AN99" i="32"/>
  <c r="AJ70" i="47"/>
  <c r="AJ122" i="32"/>
  <c r="AF63" i="47"/>
  <c r="AF73" i="47"/>
  <c r="AJ104" i="32"/>
  <c r="AF76" i="47"/>
  <c r="AJ112" i="32"/>
  <c r="AF69" i="47"/>
  <c r="AJ101" i="32"/>
  <c r="AD82" i="47"/>
  <c r="AL83" i="32"/>
  <c r="AK91" i="32"/>
  <c r="AH64" i="47" s="1"/>
  <c r="AH80" i="47"/>
  <c r="AL115" i="32"/>
  <c r="AN110" i="32"/>
  <c r="AJ77" i="47"/>
  <c r="AK123" i="32" l="1"/>
  <c r="AH62" i="47" s="1"/>
  <c r="AL127" i="32"/>
  <c r="AI65" i="47" s="1"/>
  <c r="AG89" i="32"/>
  <c r="AG102" i="32" s="1"/>
  <c r="AH81" i="32"/>
  <c r="AB68" i="47"/>
  <c r="AE74" i="32"/>
  <c r="AE77" i="32" s="1"/>
  <c r="AO110" i="32"/>
  <c r="AK77" i="47"/>
  <c r="AK122" i="32"/>
  <c r="AG63" i="47"/>
  <c r="AK70" i="47"/>
  <c r="AO99" i="32"/>
  <c r="AN116" i="32"/>
  <c r="AJ79" i="47"/>
  <c r="AE82" i="47"/>
  <c r="AJ67" i="47"/>
  <c r="AN126" i="32"/>
  <c r="AJ66" i="47"/>
  <c r="AO105" i="32"/>
  <c r="AK72" i="47"/>
  <c r="AM114" i="32"/>
  <c r="AI81" i="47"/>
  <c r="AM115" i="32"/>
  <c r="AI80" i="47"/>
  <c r="AM83" i="32"/>
  <c r="AL91" i="32"/>
  <c r="AI64" i="47" s="1"/>
  <c r="AK101" i="32"/>
  <c r="AG69" i="47"/>
  <c r="AK112" i="32"/>
  <c r="AG76" i="47"/>
  <c r="AK104" i="32"/>
  <c r="AG73" i="47"/>
  <c r="AK71" i="47"/>
  <c r="AO106" i="32"/>
  <c r="AJ82" i="32"/>
  <c r="AI90" i="32"/>
  <c r="AI113" i="32" s="1"/>
  <c r="AF75" i="47" s="1"/>
  <c r="AJ78" i="47"/>
  <c r="AN100" i="32"/>
  <c r="AJ74" i="47"/>
  <c r="AM127" i="32" l="1"/>
  <c r="AJ65" i="47" s="1"/>
  <c r="AL123" i="32"/>
  <c r="AI62" i="47" s="1"/>
  <c r="AH89" i="32"/>
  <c r="AH102" i="32" s="1"/>
  <c r="AI81" i="32"/>
  <c r="AF74" i="32"/>
  <c r="AF77" i="32" s="1"/>
  <c r="AC68" i="47"/>
  <c r="AO100" i="32"/>
  <c r="AK74" i="47"/>
  <c r="AK78" i="47"/>
  <c r="AF82" i="47"/>
  <c r="AP106" i="32"/>
  <c r="AM71" i="47" s="1"/>
  <c r="AL71" i="47"/>
  <c r="AH69" i="47"/>
  <c r="AL101" i="32"/>
  <c r="AN83" i="32"/>
  <c r="AM91" i="32"/>
  <c r="AJ64" i="47" s="1"/>
  <c r="AP99" i="32"/>
  <c r="AM70" i="47" s="1"/>
  <c r="AL70" i="47"/>
  <c r="AK82" i="32"/>
  <c r="AJ90" i="32"/>
  <c r="AJ113" i="32" s="1"/>
  <c r="AG75" i="47" s="1"/>
  <c r="AL104" i="32"/>
  <c r="AH73" i="47"/>
  <c r="AH76" i="47"/>
  <c r="AL112" i="32"/>
  <c r="AN115" i="32"/>
  <c r="AJ80" i="47"/>
  <c r="AN114" i="32"/>
  <c r="AJ81" i="47"/>
  <c r="AP105" i="32"/>
  <c r="AM72" i="47" s="1"/>
  <c r="AL72" i="47"/>
  <c r="AO126" i="32"/>
  <c r="AK66" i="47"/>
  <c r="AK67" i="47"/>
  <c r="AO116" i="32"/>
  <c r="AK79" i="47"/>
  <c r="AL122" i="32"/>
  <c r="AH63" i="47"/>
  <c r="AL77" i="47"/>
  <c r="AP110" i="32"/>
  <c r="AM77" i="47" s="1"/>
  <c r="AN127" i="32" l="1"/>
  <c r="AK65" i="47" s="1"/>
  <c r="AM123" i="32"/>
  <c r="AJ62" i="47" s="1"/>
  <c r="AI89" i="32"/>
  <c r="AI102" i="32" s="1"/>
  <c r="AJ81" i="32"/>
  <c r="AG74" i="32"/>
  <c r="AG77" i="32" s="1"/>
  <c r="AD68" i="47"/>
  <c r="AO127" i="32"/>
  <c r="AL65" i="47" s="1"/>
  <c r="AM122" i="32"/>
  <c r="AI63" i="47"/>
  <c r="AL79" i="47"/>
  <c r="AP116" i="32"/>
  <c r="AM79" i="47" s="1"/>
  <c r="AM67" i="47"/>
  <c r="AL67" i="47"/>
  <c r="AP126" i="32"/>
  <c r="AM66" i="47" s="1"/>
  <c r="AL66" i="47"/>
  <c r="AO114" i="32"/>
  <c r="AK81" i="47"/>
  <c r="AO115" i="32"/>
  <c r="AK80" i="47"/>
  <c r="AI73" i="47"/>
  <c r="AM104" i="32"/>
  <c r="AL82" i="32"/>
  <c r="AK90" i="32"/>
  <c r="AK113" i="32" s="1"/>
  <c r="AH75" i="47" s="1"/>
  <c r="AM101" i="32"/>
  <c r="AI69" i="47"/>
  <c r="AL78" i="47"/>
  <c r="AM78" i="47"/>
  <c r="AI76" i="47"/>
  <c r="AM112" i="32"/>
  <c r="AG82" i="47"/>
  <c r="AO83" i="32"/>
  <c r="AN91" i="32"/>
  <c r="AK64" i="47" s="1"/>
  <c r="AP100" i="32"/>
  <c r="AM74" i="47" s="1"/>
  <c r="AL74" i="47"/>
  <c r="AN123" i="32" l="1"/>
  <c r="AK62" i="47" s="1"/>
  <c r="AJ89" i="32"/>
  <c r="AJ102" i="32" s="1"/>
  <c r="AK81" i="32"/>
  <c r="AH74" i="32"/>
  <c r="AH77" i="32" s="1"/>
  <c r="AE68" i="47"/>
  <c r="AP127" i="32"/>
  <c r="AM65" i="47" s="1"/>
  <c r="AJ76" i="47"/>
  <c r="AN112" i="32"/>
  <c r="AN101" i="32"/>
  <c r="AJ69" i="47"/>
  <c r="AH82" i="47"/>
  <c r="AJ73" i="47"/>
  <c r="AN104" i="32"/>
  <c r="AP83" i="32"/>
  <c r="AO91" i="32"/>
  <c r="AL64" i="47" s="1"/>
  <c r="AM82" i="32"/>
  <c r="AL90" i="32"/>
  <c r="AL113" i="32" s="1"/>
  <c r="AI75" i="47" s="1"/>
  <c r="AL80" i="47"/>
  <c r="AP115" i="32"/>
  <c r="AM80" i="47" s="1"/>
  <c r="AP114" i="32"/>
  <c r="AM81" i="47" s="1"/>
  <c r="AL81" i="47"/>
  <c r="AJ63" i="47"/>
  <c r="AN122" i="32"/>
  <c r="AO123" i="32" l="1"/>
  <c r="AL62" i="47" s="1"/>
  <c r="AK89" i="32"/>
  <c r="AK102" i="32" s="1"/>
  <c r="AL81" i="32"/>
  <c r="AF68" i="47"/>
  <c r="AI74" i="32"/>
  <c r="AI77" i="32" s="1"/>
  <c r="AN82" i="32"/>
  <c r="AM90" i="32"/>
  <c r="AM113" i="32" s="1"/>
  <c r="AJ75" i="47" s="1"/>
  <c r="AK76" i="47"/>
  <c r="AO112" i="32"/>
  <c r="AK63" i="47"/>
  <c r="AO122" i="32"/>
  <c r="AI82" i="47"/>
  <c r="AP91" i="32"/>
  <c r="AM64" i="47" s="1"/>
  <c r="AK73" i="47"/>
  <c r="AO104" i="32"/>
  <c r="AO101" i="32"/>
  <c r="AK69" i="47"/>
  <c r="AP123" i="32" l="1"/>
  <c r="AM62" i="47" s="1"/>
  <c r="AL89" i="32"/>
  <c r="AL102" i="32" s="1"/>
  <c r="AM81" i="32"/>
  <c r="AJ74" i="32"/>
  <c r="AJ77" i="32" s="1"/>
  <c r="AG68" i="47"/>
  <c r="AP101" i="32"/>
  <c r="AL69" i="47"/>
  <c r="AJ82" i="47"/>
  <c r="AL73" i="47"/>
  <c r="AP104" i="32"/>
  <c r="AM73" i="47" s="1"/>
  <c r="AP122" i="32"/>
  <c r="AM63" i="47" s="1"/>
  <c r="AL63" i="47"/>
  <c r="AL76" i="47"/>
  <c r="AP112" i="32"/>
  <c r="AM76" i="47" s="1"/>
  <c r="AO82" i="32"/>
  <c r="AN90" i="32"/>
  <c r="AN113" i="32" s="1"/>
  <c r="AK75" i="47" s="1"/>
  <c r="AN81" i="32" l="1"/>
  <c r="AM89" i="32"/>
  <c r="AM102" i="32" s="1"/>
  <c r="AK74" i="32"/>
  <c r="AK77" i="32" s="1"/>
  <c r="AH68" i="47"/>
  <c r="AK82" i="47"/>
  <c r="AP82" i="32"/>
  <c r="AO90" i="32"/>
  <c r="AO113" i="32" s="1"/>
  <c r="AL75" i="47" s="1"/>
  <c r="AM69" i="47"/>
  <c r="AN89" i="32" l="1"/>
  <c r="AN102" i="32" s="1"/>
  <c r="AO81" i="32"/>
  <c r="AL74" i="32"/>
  <c r="AL77" i="32" s="1"/>
  <c r="AI68" i="47"/>
  <c r="AL82" i="47"/>
  <c r="AP90" i="32"/>
  <c r="AP113" i="32" s="1"/>
  <c r="AM75" i="47" s="1"/>
  <c r="AO89" i="32" l="1"/>
  <c r="AO102" i="32" s="1"/>
  <c r="AP81" i="32"/>
  <c r="AM74" i="32"/>
  <c r="AM77" i="32" s="1"/>
  <c r="AJ68" i="47"/>
  <c r="AM82" i="47"/>
  <c r="AP89" i="32" l="1"/>
  <c r="AP102" i="32" s="1"/>
  <c r="AN74" i="32"/>
  <c r="AN77" i="32" s="1"/>
  <c r="AK68" i="47"/>
  <c r="O125" i="32"/>
  <c r="AO74" i="32" l="1"/>
  <c r="AO77" i="32" s="1"/>
  <c r="AL68" i="47"/>
  <c r="L125" i="32"/>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K125" i="32"/>
  <c r="N125" i="32"/>
  <c r="M125" i="32"/>
  <c r="AP74" i="32" l="1"/>
  <c r="AP77" i="32" s="1"/>
  <c r="AM68" i="47"/>
  <c r="G63" i="53"/>
  <c r="E63" i="53" s="1"/>
  <c r="F99" i="53" s="1"/>
  <c r="G64" i="53"/>
  <c r="E64" i="53" s="1"/>
  <c r="F78" i="53" s="1"/>
  <c r="G60" i="53"/>
  <c r="E60" i="53" s="1"/>
  <c r="F74" i="53" s="1"/>
  <c r="G57" i="53"/>
  <c r="E57" i="53" s="1"/>
  <c r="F71" i="53" s="1"/>
  <c r="G58" i="53"/>
  <c r="E58" i="53" s="1"/>
  <c r="F72" i="53" s="1"/>
  <c r="G61" i="53"/>
  <c r="E61" i="53" s="1"/>
  <c r="F75" i="53" s="1"/>
  <c r="G62" i="53"/>
  <c r="E62" i="53" s="1"/>
  <c r="F98" i="53" s="1"/>
  <c r="F85" i="53" l="1"/>
  <c r="K74" i="53"/>
  <c r="K166" i="53" s="1"/>
  <c r="G74" i="53"/>
  <c r="L74" i="53"/>
  <c r="L166" i="53" s="1"/>
  <c r="O74" i="53"/>
  <c r="O166" i="53" s="1"/>
  <c r="F89" i="53"/>
  <c r="K78" i="53"/>
  <c r="K170" i="53" s="1"/>
  <c r="G78" i="53"/>
  <c r="L78" i="53"/>
  <c r="L170" i="53" s="1"/>
  <c r="O78" i="53"/>
  <c r="O170" i="53" s="1"/>
  <c r="K98" i="53"/>
  <c r="K157" i="53" s="1"/>
  <c r="K239" i="53" s="1"/>
  <c r="K254" i="53" s="1"/>
  <c r="H110" i="47" s="1"/>
  <c r="G98" i="53"/>
  <c r="O98" i="53"/>
  <c r="O157" i="53" s="1"/>
  <c r="O239" i="53" s="1"/>
  <c r="O254" i="53" s="1"/>
  <c r="L110" i="47" s="1"/>
  <c r="F86" i="53"/>
  <c r="K75" i="53"/>
  <c r="K167" i="53" s="1"/>
  <c r="G75" i="53"/>
  <c r="O75" i="53"/>
  <c r="O167" i="53" s="1"/>
  <c r="F83" i="53"/>
  <c r="G72" i="53"/>
  <c r="K72" i="53"/>
  <c r="K164" i="53" s="1"/>
  <c r="O72" i="53"/>
  <c r="O164" i="53" s="1"/>
  <c r="F82" i="53"/>
  <c r="K71" i="53"/>
  <c r="K163" i="53" s="1"/>
  <c r="G71" i="53"/>
  <c r="L71" i="53"/>
  <c r="L163" i="53" s="1"/>
  <c r="O71" i="53"/>
  <c r="O163" i="53" s="1"/>
  <c r="G99" i="53"/>
  <c r="K99" i="53"/>
  <c r="K158" i="53" s="1"/>
  <c r="K240" i="53" s="1"/>
  <c r="K255" i="53" s="1"/>
  <c r="H116" i="47" s="1"/>
  <c r="O99" i="53"/>
  <c r="O158" i="53" s="1"/>
  <c r="O240" i="53" s="1"/>
  <c r="O255" i="53" s="1"/>
  <c r="L116" i="47" s="1"/>
  <c r="G56" i="53"/>
  <c r="E56" i="53" s="1"/>
  <c r="F70" i="53" s="1"/>
  <c r="G59" i="53"/>
  <c r="E59" i="53" s="1"/>
  <c r="F73" i="53" s="1"/>
  <c r="L75" i="53" l="1"/>
  <c r="L167" i="53" s="1"/>
  <c r="L98" i="53"/>
  <c r="L157" i="53" s="1"/>
  <c r="L239" i="53" s="1"/>
  <c r="L254" i="53" s="1"/>
  <c r="I110" i="47" s="1"/>
  <c r="L99" i="53"/>
  <c r="L158" i="53" s="1"/>
  <c r="L240" i="53" s="1"/>
  <c r="L255" i="53" s="1"/>
  <c r="I116" i="47" s="1"/>
  <c r="M98" i="53"/>
  <c r="M157" i="53" s="1"/>
  <c r="M239" i="53" s="1"/>
  <c r="M254" i="53" s="1"/>
  <c r="J110" i="47" s="1"/>
  <c r="M78" i="53"/>
  <c r="M170" i="53" s="1"/>
  <c r="F81" i="53"/>
  <c r="K70" i="53"/>
  <c r="K162" i="53" s="1"/>
  <c r="G70" i="53"/>
  <c r="L70" i="53"/>
  <c r="L162" i="53" s="1"/>
  <c r="O70" i="53"/>
  <c r="O162" i="53" s="1"/>
  <c r="H99" i="53"/>
  <c r="R99" i="53"/>
  <c r="R158" i="53" s="1"/>
  <c r="R240" i="53" s="1"/>
  <c r="R255" i="53" s="1"/>
  <c r="O116" i="47" s="1"/>
  <c r="P99" i="53"/>
  <c r="P158" i="53" s="1"/>
  <c r="P240" i="53" s="1"/>
  <c r="P255" i="53" s="1"/>
  <c r="M116" i="47" s="1"/>
  <c r="F94" i="53"/>
  <c r="G83" i="53"/>
  <c r="K83" i="53"/>
  <c r="L83" i="53" s="1"/>
  <c r="O83" i="53"/>
  <c r="H98" i="53"/>
  <c r="R98" i="53"/>
  <c r="R157" i="53" s="1"/>
  <c r="R239" i="53" s="1"/>
  <c r="R254" i="53" s="1"/>
  <c r="O110" i="47" s="1"/>
  <c r="P98" i="53"/>
  <c r="P157" i="53" s="1"/>
  <c r="P239" i="53" s="1"/>
  <c r="P254" i="53" s="1"/>
  <c r="M110" i="47" s="1"/>
  <c r="H78" i="53"/>
  <c r="R78" i="53"/>
  <c r="R170" i="53" s="1"/>
  <c r="P78" i="53"/>
  <c r="P170" i="53" s="1"/>
  <c r="F100" i="53"/>
  <c r="K89" i="53"/>
  <c r="L89" i="53" s="1"/>
  <c r="G89" i="53"/>
  <c r="F84" i="53"/>
  <c r="K73" i="53"/>
  <c r="K165" i="53" s="1"/>
  <c r="G73" i="53"/>
  <c r="L73" i="53"/>
  <c r="L165" i="53" s="1"/>
  <c r="O73" i="53"/>
  <c r="O165" i="53" s="1"/>
  <c r="M71" i="53"/>
  <c r="R71" i="53"/>
  <c r="R163" i="53" s="1"/>
  <c r="H71" i="53"/>
  <c r="P71" i="53"/>
  <c r="P163" i="53" s="1"/>
  <c r="F93" i="53"/>
  <c r="K82" i="53"/>
  <c r="G82" i="53"/>
  <c r="L82" i="53"/>
  <c r="L72" i="53"/>
  <c r="H72" i="53"/>
  <c r="R72" i="53"/>
  <c r="R164" i="53" s="1"/>
  <c r="P72" i="53"/>
  <c r="P164" i="53" s="1"/>
  <c r="M75" i="53"/>
  <c r="H75" i="53"/>
  <c r="R75" i="53"/>
  <c r="R167" i="53" s="1"/>
  <c r="P75" i="53"/>
  <c r="P167" i="53" s="1"/>
  <c r="F97" i="53"/>
  <c r="K86" i="53"/>
  <c r="L86" i="53" s="1"/>
  <c r="G86" i="53"/>
  <c r="O86" i="53"/>
  <c r="M74" i="53"/>
  <c r="H74" i="53"/>
  <c r="R74" i="53"/>
  <c r="R166" i="53" s="1"/>
  <c r="P74" i="53"/>
  <c r="P166" i="53" s="1"/>
  <c r="F96" i="53"/>
  <c r="G85" i="53"/>
  <c r="K85" i="53"/>
  <c r="O85" i="53"/>
  <c r="M99" i="53" l="1"/>
  <c r="N98" i="53"/>
  <c r="N157" i="53" s="1"/>
  <c r="N239" i="53" s="1"/>
  <c r="N254" i="53" s="1"/>
  <c r="K110" i="47" s="1"/>
  <c r="N78" i="53"/>
  <c r="N170" i="53" s="1"/>
  <c r="Q78" i="53"/>
  <c r="Q170" i="53" s="1"/>
  <c r="Q98" i="53"/>
  <c r="Q157" i="53" s="1"/>
  <c r="Q239" i="53" s="1"/>
  <c r="Q254" i="53" s="1"/>
  <c r="N110" i="47" s="1"/>
  <c r="Q74" i="53"/>
  <c r="Q166" i="53" s="1"/>
  <c r="Q72" i="53"/>
  <c r="Q164" i="53" s="1"/>
  <c r="M73" i="53"/>
  <c r="M165" i="53" s="1"/>
  <c r="H85" i="53"/>
  <c r="R85" i="53"/>
  <c r="M166" i="53"/>
  <c r="N74" i="53"/>
  <c r="N166" i="53" s="1"/>
  <c r="O213" i="53"/>
  <c r="O179" i="53"/>
  <c r="O191" i="53"/>
  <c r="O202" i="53"/>
  <c r="R86" i="53"/>
  <c r="H86" i="53"/>
  <c r="P86" i="53"/>
  <c r="K97" i="53"/>
  <c r="K156" i="53" s="1"/>
  <c r="G97" i="53"/>
  <c r="L97" i="53"/>
  <c r="L156" i="53" s="1"/>
  <c r="O97" i="53"/>
  <c r="O156" i="53" s="1"/>
  <c r="S75" i="53"/>
  <c r="S167" i="53" s="1"/>
  <c r="I75" i="53"/>
  <c r="AB75" i="53"/>
  <c r="AB167" i="53" s="1"/>
  <c r="L164" i="53"/>
  <c r="M72" i="53"/>
  <c r="R82" i="53"/>
  <c r="H82" i="53"/>
  <c r="K93" i="53"/>
  <c r="K152" i="53" s="1"/>
  <c r="G93" i="53"/>
  <c r="L93" i="53"/>
  <c r="L152" i="53" s="1"/>
  <c r="O93" i="53"/>
  <c r="O152" i="53" s="1"/>
  <c r="M158" i="53"/>
  <c r="M240" i="53" s="1"/>
  <c r="M255" i="53" s="1"/>
  <c r="J116" i="47" s="1"/>
  <c r="N99" i="53"/>
  <c r="N158" i="53" s="1"/>
  <c r="N240" i="53" s="1"/>
  <c r="N255" i="53" s="1"/>
  <c r="K116" i="47" s="1"/>
  <c r="R73" i="53"/>
  <c r="R165" i="53" s="1"/>
  <c r="H73" i="53"/>
  <c r="P73" i="53"/>
  <c r="P165" i="53" s="1"/>
  <c r="F95" i="53"/>
  <c r="K84" i="53"/>
  <c r="G84" i="53"/>
  <c r="L84" i="53"/>
  <c r="O84" i="53"/>
  <c r="M89" i="53"/>
  <c r="L182" i="53"/>
  <c r="L216" i="53"/>
  <c r="L194" i="53"/>
  <c r="L205" i="53"/>
  <c r="K205" i="53"/>
  <c r="K216" i="53"/>
  <c r="K182" i="53"/>
  <c r="K194" i="53"/>
  <c r="O188" i="53"/>
  <c r="O210" i="53"/>
  <c r="O176" i="53"/>
  <c r="O199" i="53"/>
  <c r="M83" i="53"/>
  <c r="L210" i="53"/>
  <c r="L176" i="53"/>
  <c r="L199" i="53"/>
  <c r="L188" i="53"/>
  <c r="R83" i="53"/>
  <c r="H83" i="53"/>
  <c r="P83" i="53"/>
  <c r="S99" i="53"/>
  <c r="S158" i="53" s="1"/>
  <c r="S240" i="53" s="1"/>
  <c r="S255" i="53" s="1"/>
  <c r="P116" i="47" s="1"/>
  <c r="I99" i="53"/>
  <c r="AB99" i="53"/>
  <c r="AB158" i="53" s="1"/>
  <c r="AB240" i="53" s="1"/>
  <c r="AB255" i="53" s="1"/>
  <c r="Y116" i="47" s="1"/>
  <c r="P85" i="53"/>
  <c r="O190" i="53"/>
  <c r="O212" i="53"/>
  <c r="O178" i="53"/>
  <c r="O201" i="53"/>
  <c r="L85" i="53"/>
  <c r="K201" i="53"/>
  <c r="K212" i="53"/>
  <c r="K178" i="53"/>
  <c r="K190" i="53"/>
  <c r="G96" i="53"/>
  <c r="K96" i="53"/>
  <c r="K155" i="53" s="1"/>
  <c r="O96" i="53"/>
  <c r="O155" i="53" s="1"/>
  <c r="AB74" i="53"/>
  <c r="AB166" i="53" s="1"/>
  <c r="S74" i="53"/>
  <c r="S166" i="53" s="1"/>
  <c r="I74" i="53"/>
  <c r="T74" i="53"/>
  <c r="T166" i="53" s="1"/>
  <c r="M86" i="53"/>
  <c r="L179" i="53"/>
  <c r="L202" i="53"/>
  <c r="L213" i="53"/>
  <c r="L191" i="53"/>
  <c r="K191" i="53"/>
  <c r="K202" i="53"/>
  <c r="K213" i="53"/>
  <c r="K179" i="53"/>
  <c r="Q75" i="53"/>
  <c r="Q167" i="53" s="1"/>
  <c r="M167" i="53"/>
  <c r="N75" i="53"/>
  <c r="N167" i="53" s="1"/>
  <c r="I72" i="53"/>
  <c r="AB72" i="53"/>
  <c r="AB164" i="53" s="1"/>
  <c r="S72" i="53"/>
  <c r="S164" i="53" s="1"/>
  <c r="M82" i="53"/>
  <c r="L187" i="53"/>
  <c r="L209" i="53"/>
  <c r="L198" i="53"/>
  <c r="L175" i="53"/>
  <c r="K209" i="53"/>
  <c r="K175" i="53"/>
  <c r="K198" i="53"/>
  <c r="K187" i="53"/>
  <c r="Q71" i="53"/>
  <c r="Q163" i="53" s="1"/>
  <c r="S71" i="53"/>
  <c r="S163" i="53" s="1"/>
  <c r="I71" i="53"/>
  <c r="AB71" i="53"/>
  <c r="AB163" i="53" s="1"/>
  <c r="M163" i="53"/>
  <c r="N71" i="53"/>
  <c r="N163" i="53" s="1"/>
  <c r="N73" i="53"/>
  <c r="N165" i="53" s="1"/>
  <c r="R89" i="53"/>
  <c r="H89" i="53"/>
  <c r="G100" i="53"/>
  <c r="K100" i="53"/>
  <c r="K159" i="53" s="1"/>
  <c r="O100" i="53"/>
  <c r="O159" i="53" s="1"/>
  <c r="AB78" i="53"/>
  <c r="AB170" i="53" s="1"/>
  <c r="S78" i="53"/>
  <c r="S170" i="53" s="1"/>
  <c r="I78" i="53"/>
  <c r="I98" i="53"/>
  <c r="AB98" i="53"/>
  <c r="AB157" i="53" s="1"/>
  <c r="AB239" i="53" s="1"/>
  <c r="AB254" i="53" s="1"/>
  <c r="Y110" i="47" s="1"/>
  <c r="S98" i="53"/>
  <c r="S157" i="53" s="1"/>
  <c r="S239" i="53" s="1"/>
  <c r="S254" i="53" s="1"/>
  <c r="P110" i="47" s="1"/>
  <c r="K210" i="53"/>
  <c r="K176" i="53"/>
  <c r="K188" i="53"/>
  <c r="K199" i="53"/>
  <c r="K94" i="53"/>
  <c r="K153" i="53" s="1"/>
  <c r="G94" i="53"/>
  <c r="L94" i="53"/>
  <c r="L153" i="53" s="1"/>
  <c r="O94" i="53"/>
  <c r="O153" i="53" s="1"/>
  <c r="Q99" i="53"/>
  <c r="Q158" i="53" s="1"/>
  <c r="Q240" i="53" s="1"/>
  <c r="Q255" i="53" s="1"/>
  <c r="N116" i="47" s="1"/>
  <c r="M70" i="53"/>
  <c r="H70" i="53"/>
  <c r="R70" i="53"/>
  <c r="R162" i="53" s="1"/>
  <c r="P70" i="53"/>
  <c r="P162" i="53" s="1"/>
  <c r="F92" i="53"/>
  <c r="G81" i="53"/>
  <c r="K81" i="53"/>
  <c r="O81" i="53"/>
  <c r="L238" i="53" l="1"/>
  <c r="L253" i="53" s="1"/>
  <c r="I117" i="47" s="1"/>
  <c r="O237" i="53"/>
  <c r="O252" i="53" s="1"/>
  <c r="L115" i="47" s="1"/>
  <c r="O238" i="53"/>
  <c r="O253" i="53" s="1"/>
  <c r="L117" i="47" s="1"/>
  <c r="T98" i="53"/>
  <c r="T157" i="53" s="1"/>
  <c r="T239" i="53" s="1"/>
  <c r="T254" i="53" s="1"/>
  <c r="Q110" i="47" s="1"/>
  <c r="Q70" i="53"/>
  <c r="Q162" i="53" s="1"/>
  <c r="L234" i="53"/>
  <c r="L249" i="53" s="1"/>
  <c r="I111" i="47" s="1"/>
  <c r="O225" i="53"/>
  <c r="O263" i="53" s="1"/>
  <c r="L126" i="47" s="1"/>
  <c r="T71" i="53"/>
  <c r="T163" i="53" s="1"/>
  <c r="L228" i="53"/>
  <c r="L266" i="53" s="1"/>
  <c r="I123" i="47" s="1"/>
  <c r="T78" i="53"/>
  <c r="T170" i="53" s="1"/>
  <c r="K222" i="53"/>
  <c r="K260" i="53" s="1"/>
  <c r="H121" i="47" s="1"/>
  <c r="U74" i="53"/>
  <c r="U166" i="53" s="1"/>
  <c r="L96" i="53"/>
  <c r="L155" i="53" s="1"/>
  <c r="K237" i="53"/>
  <c r="K252" i="53" s="1"/>
  <c r="H115" i="47" s="1"/>
  <c r="Q73" i="53"/>
  <c r="Q165" i="53" s="1"/>
  <c r="H81" i="53"/>
  <c r="R81" i="53"/>
  <c r="P81" i="53"/>
  <c r="Q81" i="53" s="1"/>
  <c r="M162" i="53"/>
  <c r="N70" i="53"/>
  <c r="N162" i="53" s="1"/>
  <c r="R216" i="53"/>
  <c r="R205" i="53"/>
  <c r="R182" i="53"/>
  <c r="R194" i="53"/>
  <c r="AC71" i="53"/>
  <c r="AC163" i="53" s="1"/>
  <c r="AV71" i="53"/>
  <c r="AV163" i="53" s="1"/>
  <c r="AD71" i="53"/>
  <c r="AD163" i="53" s="1"/>
  <c r="L221" i="53"/>
  <c r="L259" i="53" s="1"/>
  <c r="I120" i="47" s="1"/>
  <c r="AC72" i="53"/>
  <c r="AC164" i="53" s="1"/>
  <c r="AV72" i="53"/>
  <c r="AV164" i="53" s="1"/>
  <c r="AD72" i="53"/>
  <c r="AD164" i="53" s="1"/>
  <c r="K225" i="53"/>
  <c r="K263" i="53" s="1"/>
  <c r="H126" i="47" s="1"/>
  <c r="AC74" i="53"/>
  <c r="AV74" i="53"/>
  <c r="AV166" i="53" s="1"/>
  <c r="R96" i="53"/>
  <c r="R155" i="53" s="1"/>
  <c r="H96" i="53"/>
  <c r="P96" i="53"/>
  <c r="P155" i="53" s="1"/>
  <c r="Q85" i="53"/>
  <c r="P178" i="53"/>
  <c r="P190" i="53"/>
  <c r="P212" i="53"/>
  <c r="P201" i="53"/>
  <c r="P199" i="53"/>
  <c r="P188" i="53"/>
  <c r="P210" i="53"/>
  <c r="P176" i="53"/>
  <c r="R176" i="53"/>
  <c r="R210" i="53"/>
  <c r="R188" i="53"/>
  <c r="R199" i="53"/>
  <c r="K241" i="53"/>
  <c r="K256" i="53" s="1"/>
  <c r="H114" i="47" s="1"/>
  <c r="O177" i="53"/>
  <c r="O189" i="53"/>
  <c r="O200" i="53"/>
  <c r="O211" i="53"/>
  <c r="M84" i="53"/>
  <c r="L211" i="53"/>
  <c r="L200" i="53"/>
  <c r="L177" i="53"/>
  <c r="L189" i="53"/>
  <c r="K177" i="53"/>
  <c r="K189" i="53"/>
  <c r="K200" i="53"/>
  <c r="K211" i="53"/>
  <c r="S73" i="53"/>
  <c r="S165" i="53" s="1"/>
  <c r="I73" i="53"/>
  <c r="AB73" i="53"/>
  <c r="AB165" i="53" s="1"/>
  <c r="S82" i="53"/>
  <c r="I82" i="53"/>
  <c r="AB82" i="53"/>
  <c r="M164" i="53"/>
  <c r="N72" i="53"/>
  <c r="N164" i="53" s="1"/>
  <c r="P179" i="53"/>
  <c r="P213" i="53"/>
  <c r="P202" i="53"/>
  <c r="P191" i="53"/>
  <c r="R179" i="53"/>
  <c r="R202" i="53"/>
  <c r="R191" i="53"/>
  <c r="R213" i="53"/>
  <c r="R178" i="53"/>
  <c r="R237" i="53" s="1"/>
  <c r="R252" i="53" s="1"/>
  <c r="O115" i="47" s="1"/>
  <c r="R190" i="53"/>
  <c r="R212" i="53"/>
  <c r="R201" i="53"/>
  <c r="O186" i="53"/>
  <c r="O208" i="53"/>
  <c r="O174" i="53"/>
  <c r="O197" i="53"/>
  <c r="L81" i="53"/>
  <c r="K186" i="53"/>
  <c r="K208" i="53"/>
  <c r="K174" i="53"/>
  <c r="K197" i="53"/>
  <c r="K92" i="53"/>
  <c r="K151" i="53" s="1"/>
  <c r="G92" i="53"/>
  <c r="L92" i="53"/>
  <c r="L151" i="53" s="1"/>
  <c r="O92" i="53"/>
  <c r="O151" i="53" s="1"/>
  <c r="M92" i="53"/>
  <c r="M151" i="53" s="1"/>
  <c r="I70" i="53"/>
  <c r="AB70" i="53"/>
  <c r="AB162" i="53" s="1"/>
  <c r="S70" i="53"/>
  <c r="S162" i="53" s="1"/>
  <c r="M94" i="53"/>
  <c r="R94" i="53"/>
  <c r="R153" i="53" s="1"/>
  <c r="H94" i="53"/>
  <c r="P94" i="53"/>
  <c r="P153" i="53" s="1"/>
  <c r="K235" i="53"/>
  <c r="K250" i="53" s="1"/>
  <c r="H112" i="47" s="1"/>
  <c r="AC98" i="53"/>
  <c r="AC157" i="53" s="1"/>
  <c r="AC239" i="53" s="1"/>
  <c r="AC254" i="53" s="1"/>
  <c r="Z110" i="47" s="1"/>
  <c r="AV98" i="53"/>
  <c r="AV157" i="53" s="1"/>
  <c r="AV239" i="53" s="1"/>
  <c r="AN254" i="53" s="1"/>
  <c r="AD98" i="53"/>
  <c r="AD157" i="53" s="1"/>
  <c r="AD239" i="53" s="1"/>
  <c r="AD254" i="53" s="1"/>
  <c r="AA110" i="47" s="1"/>
  <c r="AC78" i="53"/>
  <c r="AV78" i="53"/>
  <c r="AV170" i="53" s="1"/>
  <c r="L100" i="53"/>
  <c r="R100" i="53"/>
  <c r="R159" i="53" s="1"/>
  <c r="H100" i="53"/>
  <c r="P100" i="53"/>
  <c r="P159" i="53" s="1"/>
  <c r="I89" i="53"/>
  <c r="AB89" i="53"/>
  <c r="S89" i="53"/>
  <c r="K221" i="53"/>
  <c r="K259" i="53" s="1"/>
  <c r="H120" i="47" s="1"/>
  <c r="K234" i="53"/>
  <c r="K249" i="53" s="1"/>
  <c r="H111" i="47" s="1"/>
  <c r="N82" i="53"/>
  <c r="M175" i="53"/>
  <c r="M187" i="53"/>
  <c r="M209" i="53"/>
  <c r="M198" i="53"/>
  <c r="T72" i="53"/>
  <c r="K238" i="53"/>
  <c r="K253" i="53" s="1"/>
  <c r="H117" i="47" s="1"/>
  <c r="L225" i="53"/>
  <c r="L263" i="53" s="1"/>
  <c r="I126" i="47" s="1"/>
  <c r="N86" i="53"/>
  <c r="M179" i="53"/>
  <c r="M213" i="53"/>
  <c r="M191" i="53"/>
  <c r="M202" i="53"/>
  <c r="M96" i="53"/>
  <c r="K224" i="53"/>
  <c r="K262" i="53" s="1"/>
  <c r="H124" i="47" s="1"/>
  <c r="M85" i="53"/>
  <c r="L212" i="53"/>
  <c r="L201" i="53"/>
  <c r="L178" i="53"/>
  <c r="L237" i="53" s="1"/>
  <c r="L252" i="53" s="1"/>
  <c r="I115" i="47" s="1"/>
  <c r="L190" i="53"/>
  <c r="O224" i="53"/>
  <c r="O262" i="53" s="1"/>
  <c r="L124" i="47" s="1"/>
  <c r="T99" i="53"/>
  <c r="AV99" i="53"/>
  <c r="AV158" i="53" s="1"/>
  <c r="AV240" i="53" s="1"/>
  <c r="AN255" i="53" s="1"/>
  <c r="AC99" i="53"/>
  <c r="AC158" i="53" s="1"/>
  <c r="AC240" i="53" s="1"/>
  <c r="AC255" i="53" s="1"/>
  <c r="Z116" i="47" s="1"/>
  <c r="Q83" i="53"/>
  <c r="S83" i="53"/>
  <c r="I83" i="53"/>
  <c r="AB83" i="53"/>
  <c r="L222" i="53"/>
  <c r="L260" i="53" s="1"/>
  <c r="I121" i="47" s="1"/>
  <c r="M210" i="53"/>
  <c r="M176" i="53"/>
  <c r="M199" i="53"/>
  <c r="M188" i="53"/>
  <c r="N83" i="53"/>
  <c r="O235" i="53"/>
  <c r="O250" i="53" s="1"/>
  <c r="L112" i="47" s="1"/>
  <c r="O222" i="53"/>
  <c r="O260" i="53" s="1"/>
  <c r="L121" i="47" s="1"/>
  <c r="K228" i="53"/>
  <c r="K266" i="53" s="1"/>
  <c r="H123" i="47" s="1"/>
  <c r="N89" i="53"/>
  <c r="M182" i="53"/>
  <c r="M205" i="53"/>
  <c r="M216" i="53"/>
  <c r="M194" i="53"/>
  <c r="H84" i="53"/>
  <c r="R84" i="53"/>
  <c r="P84" i="53"/>
  <c r="Q84" i="53" s="1"/>
  <c r="G95" i="53"/>
  <c r="K95" i="53"/>
  <c r="K154" i="53" s="1"/>
  <c r="O95" i="53"/>
  <c r="O154" i="53" s="1"/>
  <c r="M93" i="53"/>
  <c r="H93" i="53"/>
  <c r="R93" i="53"/>
  <c r="R152" i="53" s="1"/>
  <c r="P93" i="53"/>
  <c r="P152" i="53" s="1"/>
  <c r="R198" i="53"/>
  <c r="R209" i="53"/>
  <c r="R175" i="53"/>
  <c r="R187" i="53"/>
  <c r="L235" i="53"/>
  <c r="L250" i="53" s="1"/>
  <c r="I112" i="47" s="1"/>
  <c r="T75" i="53"/>
  <c r="AC75" i="53"/>
  <c r="AC167" i="53" s="1"/>
  <c r="AV75" i="53"/>
  <c r="AV167" i="53" s="1"/>
  <c r="M97" i="53"/>
  <c r="H97" i="53"/>
  <c r="R97" i="53"/>
  <c r="R156" i="53" s="1"/>
  <c r="P97" i="53"/>
  <c r="P156" i="53" s="1"/>
  <c r="P238" i="53" s="1"/>
  <c r="P253" i="53" s="1"/>
  <c r="M117" i="47" s="1"/>
  <c r="Q86" i="53"/>
  <c r="S86" i="53"/>
  <c r="T86" i="53" s="1"/>
  <c r="I86" i="53"/>
  <c r="AB86" i="53"/>
  <c r="I85" i="53"/>
  <c r="AB85" i="53"/>
  <c r="S85" i="53"/>
  <c r="V74" i="53" l="1"/>
  <c r="U71" i="53"/>
  <c r="V71" i="53" s="1"/>
  <c r="U78" i="53"/>
  <c r="U98" i="53"/>
  <c r="U157" i="53" s="1"/>
  <c r="U239" i="53" s="1"/>
  <c r="U254" i="53" s="1"/>
  <c r="R110" i="47" s="1"/>
  <c r="P235" i="53"/>
  <c r="P250" i="53" s="1"/>
  <c r="M112" i="47" s="1"/>
  <c r="T70" i="53"/>
  <c r="T162" i="53" s="1"/>
  <c r="O236" i="53"/>
  <c r="O251" i="53" s="1"/>
  <c r="L113" i="47" s="1"/>
  <c r="K220" i="53"/>
  <c r="K258" i="53" s="1"/>
  <c r="H118" i="47" s="1"/>
  <c r="P225" i="53"/>
  <c r="P263" i="53" s="1"/>
  <c r="M126" i="47" s="1"/>
  <c r="R222" i="53"/>
  <c r="R260" i="53" s="1"/>
  <c r="O121" i="47" s="1"/>
  <c r="Q96" i="53"/>
  <c r="Q155" i="53" s="1"/>
  <c r="AD75" i="53"/>
  <c r="R221" i="53"/>
  <c r="R259" i="53" s="1"/>
  <c r="O120" i="47" s="1"/>
  <c r="Q93" i="53"/>
  <c r="Q152" i="53" s="1"/>
  <c r="M228" i="53"/>
  <c r="M266" i="53" s="1"/>
  <c r="J123" i="47" s="1"/>
  <c r="L224" i="53"/>
  <c r="L262" i="53" s="1"/>
  <c r="I124" i="47" s="1"/>
  <c r="AE98" i="53"/>
  <c r="AE157" i="53" s="1"/>
  <c r="AE239" i="53" s="1"/>
  <c r="AE254" i="53" s="1"/>
  <c r="AB110" i="47" s="1"/>
  <c r="Q94" i="53"/>
  <c r="Q153" i="53" s="1"/>
  <c r="T73" i="53"/>
  <c r="T165" i="53" s="1"/>
  <c r="AE72" i="53"/>
  <c r="AE164" i="53" s="1"/>
  <c r="R235" i="53"/>
  <c r="R250" i="53" s="1"/>
  <c r="O112" i="47" s="1"/>
  <c r="S190" i="53"/>
  <c r="S201" i="53"/>
  <c r="S178" i="53"/>
  <c r="S212" i="53"/>
  <c r="AV85" i="53"/>
  <c r="AC85" i="53"/>
  <c r="T191" i="53"/>
  <c r="T179" i="53"/>
  <c r="T202" i="53"/>
  <c r="T213" i="53"/>
  <c r="AV86" i="53"/>
  <c r="AC86" i="53"/>
  <c r="AD86" i="53" s="1"/>
  <c r="Q191" i="53"/>
  <c r="Q179" i="53"/>
  <c r="Q213" i="53"/>
  <c r="Q202" i="53"/>
  <c r="S97" i="53"/>
  <c r="S156" i="53" s="1"/>
  <c r="AB97" i="53"/>
  <c r="AB156" i="53" s="1"/>
  <c r="I97" i="53"/>
  <c r="T167" i="53"/>
  <c r="U75" i="53"/>
  <c r="M152" i="53"/>
  <c r="M234" i="53" s="1"/>
  <c r="M249" i="53" s="1"/>
  <c r="J111" i="47" s="1"/>
  <c r="N93" i="53"/>
  <c r="N152" i="53" s="1"/>
  <c r="Q177" i="53"/>
  <c r="Q211" i="53"/>
  <c r="Q189" i="53"/>
  <c r="Q200" i="53"/>
  <c r="R177" i="53"/>
  <c r="R200" i="53"/>
  <c r="R211" i="53"/>
  <c r="R189" i="53"/>
  <c r="O89" i="53"/>
  <c r="N216" i="53"/>
  <c r="N182" i="53"/>
  <c r="N205" i="53"/>
  <c r="N194" i="53"/>
  <c r="N188" i="53"/>
  <c r="N210" i="53"/>
  <c r="N176" i="53"/>
  <c r="N199" i="53"/>
  <c r="AB176" i="53"/>
  <c r="AB210" i="53"/>
  <c r="AB188" i="53"/>
  <c r="AB199" i="53"/>
  <c r="S188" i="53"/>
  <c r="S210" i="53"/>
  <c r="S176" i="53"/>
  <c r="S199" i="53"/>
  <c r="T158" i="53"/>
  <c r="T240" i="53" s="1"/>
  <c r="T255" i="53" s="1"/>
  <c r="Q116" i="47" s="1"/>
  <c r="U99" i="53"/>
  <c r="M212" i="53"/>
  <c r="M190" i="53"/>
  <c r="M201" i="53"/>
  <c r="M178" i="53"/>
  <c r="N85" i="53"/>
  <c r="M155" i="53"/>
  <c r="M237" i="53" s="1"/>
  <c r="M252" i="53" s="1"/>
  <c r="J115" i="47" s="1"/>
  <c r="N96" i="53"/>
  <c r="N155" i="53" s="1"/>
  <c r="N202" i="53"/>
  <c r="N179" i="53"/>
  <c r="N213" i="53"/>
  <c r="N191" i="53"/>
  <c r="M221" i="53"/>
  <c r="M259" i="53" s="1"/>
  <c r="J120" i="47" s="1"/>
  <c r="O82" i="53"/>
  <c r="N187" i="53"/>
  <c r="N198" i="53"/>
  <c r="N175" i="53"/>
  <c r="N209" i="53"/>
  <c r="S194" i="53"/>
  <c r="S216" i="53"/>
  <c r="S182" i="53"/>
  <c r="S205" i="53"/>
  <c r="AV89" i="53"/>
  <c r="AC89" i="53"/>
  <c r="AD78" i="53"/>
  <c r="AC170" i="53"/>
  <c r="AK110" i="47"/>
  <c r="AO254" i="53"/>
  <c r="I94" i="53"/>
  <c r="AB94" i="53"/>
  <c r="AB153" i="53" s="1"/>
  <c r="S94" i="53"/>
  <c r="S153" i="53" s="1"/>
  <c r="M153" i="53"/>
  <c r="M235" i="53" s="1"/>
  <c r="M250" i="53" s="1"/>
  <c r="J112" i="47" s="1"/>
  <c r="N94" i="53"/>
  <c r="N153" i="53" s="1"/>
  <c r="K233" i="53"/>
  <c r="K248" i="53" s="1"/>
  <c r="H109" i="47" s="1"/>
  <c r="R224" i="53"/>
  <c r="R262" i="53" s="1"/>
  <c r="O124" i="47" s="1"/>
  <c r="AB175" i="53"/>
  <c r="AB187" i="53"/>
  <c r="AB209" i="53"/>
  <c r="AB198" i="53"/>
  <c r="S175" i="53"/>
  <c r="S187" i="53"/>
  <c r="S198" i="53"/>
  <c r="S209" i="53"/>
  <c r="AV73" i="53"/>
  <c r="AV165" i="53" s="1"/>
  <c r="AC73" i="53"/>
  <c r="AC165" i="53" s="1"/>
  <c r="K236" i="53"/>
  <c r="K251" i="53" s="1"/>
  <c r="H113" i="47" s="1"/>
  <c r="O223" i="53"/>
  <c r="O261" i="53" s="1"/>
  <c r="L122" i="47" s="1"/>
  <c r="I96" i="53"/>
  <c r="AB96" i="53"/>
  <c r="AB155" i="53" s="1"/>
  <c r="S96" i="53"/>
  <c r="S155" i="53" s="1"/>
  <c r="R241" i="53"/>
  <c r="R256" i="53" s="1"/>
  <c r="O114" i="47" s="1"/>
  <c r="Q197" i="53"/>
  <c r="Q174" i="53"/>
  <c r="Q208" i="53"/>
  <c r="Q186" i="53"/>
  <c r="R186" i="53"/>
  <c r="R208" i="53"/>
  <c r="R174" i="53"/>
  <c r="R197" i="53"/>
  <c r="T85" i="53"/>
  <c r="AB212" i="53"/>
  <c r="AB190" i="53"/>
  <c r="AB178" i="53"/>
  <c r="AB237" i="53" s="1"/>
  <c r="AB252" i="53" s="1"/>
  <c r="Y115" i="47" s="1"/>
  <c r="AB201" i="53"/>
  <c r="U86" i="53"/>
  <c r="AB179" i="53"/>
  <c r="AB238" i="53" s="1"/>
  <c r="AB253" i="53" s="1"/>
  <c r="Y117" i="47" s="1"/>
  <c r="AB191" i="53"/>
  <c r="AB213" i="53"/>
  <c r="AB202" i="53"/>
  <c r="S202" i="53"/>
  <c r="S191" i="53"/>
  <c r="S213" i="53"/>
  <c r="S179" i="53"/>
  <c r="Q97" i="53"/>
  <c r="Q156" i="53" s="1"/>
  <c r="M156" i="53"/>
  <c r="M238" i="53" s="1"/>
  <c r="M253" i="53" s="1"/>
  <c r="J117" i="47" s="1"/>
  <c r="N97" i="53"/>
  <c r="N156" i="53" s="1"/>
  <c r="R234" i="53"/>
  <c r="R249" i="53" s="1"/>
  <c r="O111" i="47" s="1"/>
  <c r="S93" i="53"/>
  <c r="S152" i="53" s="1"/>
  <c r="AB93" i="53"/>
  <c r="AB152" i="53" s="1"/>
  <c r="I93" i="53"/>
  <c r="L95" i="53"/>
  <c r="H95" i="53"/>
  <c r="R95" i="53"/>
  <c r="R154" i="53" s="1"/>
  <c r="P95" i="53"/>
  <c r="P154" i="53" s="1"/>
  <c r="P200" i="53"/>
  <c r="P177" i="53"/>
  <c r="P211" i="53"/>
  <c r="P189" i="53"/>
  <c r="S84" i="53"/>
  <c r="T84" i="53" s="1"/>
  <c r="I84" i="53"/>
  <c r="AB84" i="53"/>
  <c r="M222" i="53"/>
  <c r="M260" i="53" s="1"/>
  <c r="J121" i="47" s="1"/>
  <c r="T83" i="53"/>
  <c r="AC83" i="53"/>
  <c r="AV83" i="53"/>
  <c r="Q199" i="53"/>
  <c r="Q176" i="53"/>
  <c r="Q210" i="53"/>
  <c r="Q188" i="53"/>
  <c r="AD99" i="53"/>
  <c r="AK116" i="47"/>
  <c r="AO255" i="53"/>
  <c r="V166" i="53"/>
  <c r="W74" i="53"/>
  <c r="M225" i="53"/>
  <c r="M263" i="53" s="1"/>
  <c r="J126" i="47" s="1"/>
  <c r="T164" i="53"/>
  <c r="U72" i="53"/>
  <c r="T89" i="53"/>
  <c r="AB216" i="53"/>
  <c r="AB182" i="53"/>
  <c r="AB194" i="53"/>
  <c r="AB205" i="53"/>
  <c r="Q100" i="53"/>
  <c r="Q159" i="53" s="1"/>
  <c r="I100" i="53"/>
  <c r="AB100" i="53"/>
  <c r="AB159" i="53" s="1"/>
  <c r="S100" i="53"/>
  <c r="S159" i="53" s="1"/>
  <c r="S241" i="53" s="1"/>
  <c r="S256" i="53" s="1"/>
  <c r="P114" i="47" s="1"/>
  <c r="L159" i="53"/>
  <c r="L241" i="53" s="1"/>
  <c r="L256" i="53" s="1"/>
  <c r="I114" i="47" s="1"/>
  <c r="M100" i="53"/>
  <c r="U170" i="53"/>
  <c r="V78" i="53"/>
  <c r="AF98" i="53"/>
  <c r="U70" i="53"/>
  <c r="AC70" i="53"/>
  <c r="AV70" i="53"/>
  <c r="AV162" i="53" s="1"/>
  <c r="N92" i="53"/>
  <c r="N151" i="53" s="1"/>
  <c r="H92" i="53"/>
  <c r="R92" i="53"/>
  <c r="R151" i="53" s="1"/>
  <c r="P92" i="53"/>
  <c r="P151" i="53" s="1"/>
  <c r="M81" i="53"/>
  <c r="L197" i="53"/>
  <c r="L174" i="53"/>
  <c r="L233" i="53" s="1"/>
  <c r="L248" i="53" s="1"/>
  <c r="I109" i="47" s="1"/>
  <c r="L208" i="53"/>
  <c r="L186" i="53"/>
  <c r="O233" i="53"/>
  <c r="O248" i="53" s="1"/>
  <c r="L109" i="47" s="1"/>
  <c r="O220" i="53"/>
  <c r="R225" i="53"/>
  <c r="R263" i="53" s="1"/>
  <c r="O126" i="47" s="1"/>
  <c r="R238" i="53"/>
  <c r="R253" i="53" s="1"/>
  <c r="O117" i="47" s="1"/>
  <c r="T82" i="53"/>
  <c r="AV82" i="53"/>
  <c r="AC82" i="53"/>
  <c r="U73" i="53"/>
  <c r="K223" i="53"/>
  <c r="K261" i="53" s="1"/>
  <c r="H122" i="47" s="1"/>
  <c r="L223" i="53"/>
  <c r="L261" i="53" s="1"/>
  <c r="I122" i="47" s="1"/>
  <c r="M189" i="53"/>
  <c r="M211" i="53"/>
  <c r="M177" i="53"/>
  <c r="M200" i="53"/>
  <c r="N84" i="53"/>
  <c r="P222" i="53"/>
  <c r="P260" i="53" s="1"/>
  <c r="M121" i="47" s="1"/>
  <c r="P224" i="53"/>
  <c r="P262" i="53" s="1"/>
  <c r="M124" i="47" s="1"/>
  <c r="Q178" i="53"/>
  <c r="Q237" i="53" s="1"/>
  <c r="Q252" i="53" s="1"/>
  <c r="N115" i="47" s="1"/>
  <c r="Q190" i="53"/>
  <c r="Q212" i="53"/>
  <c r="Q201" i="53"/>
  <c r="P237" i="53"/>
  <c r="P252" i="53" s="1"/>
  <c r="M115" i="47" s="1"/>
  <c r="AD74" i="53"/>
  <c r="AC166" i="53"/>
  <c r="AE71" i="53"/>
  <c r="R228" i="53"/>
  <c r="R266" i="53" s="1"/>
  <c r="O123" i="47" s="1"/>
  <c r="P186" i="53"/>
  <c r="P208" i="53"/>
  <c r="P174" i="53"/>
  <c r="P197" i="53"/>
  <c r="S81" i="53"/>
  <c r="I81" i="53"/>
  <c r="AB81" i="53"/>
  <c r="U163" i="53" l="1"/>
  <c r="V98" i="53"/>
  <c r="W98" i="53" s="1"/>
  <c r="Q235" i="53"/>
  <c r="Q250" i="53" s="1"/>
  <c r="N112" i="47" s="1"/>
  <c r="AF72" i="53"/>
  <c r="AF164" i="53" s="1"/>
  <c r="N238" i="53"/>
  <c r="N253" i="53" s="1"/>
  <c r="K117" i="47" s="1"/>
  <c r="S237" i="53"/>
  <c r="S252" i="53" s="1"/>
  <c r="P115" i="47" s="1"/>
  <c r="N235" i="53"/>
  <c r="N250" i="53" s="1"/>
  <c r="K112" i="47" s="1"/>
  <c r="S235" i="53"/>
  <c r="S250" i="53" s="1"/>
  <c r="P112" i="47" s="1"/>
  <c r="T100" i="53"/>
  <c r="T159" i="53" s="1"/>
  <c r="M223" i="53"/>
  <c r="M261" i="53" s="1"/>
  <c r="J122" i="47" s="1"/>
  <c r="Q222" i="53"/>
  <c r="Q260" i="53" s="1"/>
  <c r="N121" i="47" s="1"/>
  <c r="P223" i="53"/>
  <c r="P261" i="53" s="1"/>
  <c r="M122" i="47" s="1"/>
  <c r="P236" i="53"/>
  <c r="P251" i="53" s="1"/>
  <c r="M113" i="47" s="1"/>
  <c r="Q95" i="53"/>
  <c r="Q154" i="53" s="1"/>
  <c r="S225" i="53"/>
  <c r="S263" i="53" s="1"/>
  <c r="P126" i="47" s="1"/>
  <c r="AB225" i="53"/>
  <c r="AB263" i="53" s="1"/>
  <c r="Y126" i="47" s="1"/>
  <c r="Q220" i="53"/>
  <c r="AD73" i="53"/>
  <c r="AD165" i="53" s="1"/>
  <c r="S228" i="53"/>
  <c r="S266" i="53" s="1"/>
  <c r="P123" i="47" s="1"/>
  <c r="N221" i="53"/>
  <c r="N259" i="53" s="1"/>
  <c r="K120" i="47" s="1"/>
  <c r="M224" i="53"/>
  <c r="M262" i="53" s="1"/>
  <c r="J124" i="47" s="1"/>
  <c r="AB222" i="53"/>
  <c r="AB260" i="53" s="1"/>
  <c r="Y121" i="47" s="1"/>
  <c r="N228" i="53"/>
  <c r="N266" i="53" s="1"/>
  <c r="K123" i="47" s="1"/>
  <c r="Q223" i="53"/>
  <c r="Q261" i="53" s="1"/>
  <c r="N122" i="47" s="1"/>
  <c r="P233" i="53"/>
  <c r="P248" i="53" s="1"/>
  <c r="M109" i="47" s="1"/>
  <c r="P220" i="53"/>
  <c r="P258" i="53" s="1"/>
  <c r="M118" i="47" s="1"/>
  <c r="L220" i="53"/>
  <c r="T93" i="53"/>
  <c r="T152" i="53" s="1"/>
  <c r="AD167" i="53"/>
  <c r="AE75" i="53"/>
  <c r="AB208" i="53"/>
  <c r="AB174" i="53"/>
  <c r="AB186" i="53"/>
  <c r="AB197" i="53"/>
  <c r="S186" i="53"/>
  <c r="S197" i="53"/>
  <c r="S174" i="53"/>
  <c r="S208" i="53"/>
  <c r="AD166" i="53"/>
  <c r="AE74" i="53"/>
  <c r="Q224" i="53"/>
  <c r="Q262" i="53" s="1"/>
  <c r="N124" i="47" s="1"/>
  <c r="N211" i="53"/>
  <c r="N177" i="53"/>
  <c r="N200" i="53"/>
  <c r="N189" i="53"/>
  <c r="AV187" i="53"/>
  <c r="AV198" i="53"/>
  <c r="AV175" i="53"/>
  <c r="AV209" i="53"/>
  <c r="O258" i="53"/>
  <c r="L118" i="47" s="1"/>
  <c r="L258" i="53"/>
  <c r="I118" i="47" s="1"/>
  <c r="M208" i="53"/>
  <c r="M197" i="53"/>
  <c r="M174" i="53"/>
  <c r="M233" i="53" s="1"/>
  <c r="M248" i="53" s="1"/>
  <c r="J109" i="47" s="1"/>
  <c r="M186" i="53"/>
  <c r="N81" i="53"/>
  <c r="I92" i="53"/>
  <c r="AB92" i="53"/>
  <c r="AB151" i="53" s="1"/>
  <c r="S92" i="53"/>
  <c r="S151" i="53" s="1"/>
  <c r="S233" i="53" s="1"/>
  <c r="S248" i="53" s="1"/>
  <c r="P109" i="47" s="1"/>
  <c r="AD70" i="53"/>
  <c r="AC162" i="53"/>
  <c r="AF157" i="53"/>
  <c r="AF239" i="53" s="1"/>
  <c r="AF254" i="53" s="1"/>
  <c r="AC110" i="47" s="1"/>
  <c r="AG98" i="53"/>
  <c r="V163" i="53"/>
  <c r="W71" i="53"/>
  <c r="U164" i="53"/>
  <c r="V72" i="53"/>
  <c r="AD83" i="53"/>
  <c r="AC188" i="53"/>
  <c r="AC210" i="53"/>
  <c r="AC176" i="53"/>
  <c r="AC199" i="53"/>
  <c r="T200" i="53"/>
  <c r="T177" i="53"/>
  <c r="T189" i="53"/>
  <c r="T211" i="53"/>
  <c r="AV84" i="53"/>
  <c r="AC84" i="53"/>
  <c r="L154" i="53"/>
  <c r="L236" i="53" s="1"/>
  <c r="L251" i="53" s="1"/>
  <c r="I113" i="47" s="1"/>
  <c r="M95" i="53"/>
  <c r="U191" i="53"/>
  <c r="U179" i="53"/>
  <c r="U202" i="53"/>
  <c r="U213" i="53"/>
  <c r="V86" i="53"/>
  <c r="Q258" i="53"/>
  <c r="N118" i="47" s="1"/>
  <c r="AV96" i="53"/>
  <c r="AV155" i="53" s="1"/>
  <c r="AC96" i="53"/>
  <c r="AB234" i="53"/>
  <c r="AB249" i="53" s="1"/>
  <c r="Y111" i="47" s="1"/>
  <c r="K245" i="53"/>
  <c r="AC94" i="53"/>
  <c r="AC153" i="53" s="1"/>
  <c r="AV94" i="53"/>
  <c r="AV153" i="53" s="1"/>
  <c r="AD94" i="53"/>
  <c r="AD170" i="53"/>
  <c r="AE78" i="53"/>
  <c r="AV182" i="53"/>
  <c r="AV205" i="53"/>
  <c r="AV216" i="53"/>
  <c r="AV194" i="53"/>
  <c r="U158" i="53"/>
  <c r="U240" i="53" s="1"/>
  <c r="U255" i="53" s="1"/>
  <c r="R116" i="47" s="1"/>
  <c r="V99" i="53"/>
  <c r="P89" i="53"/>
  <c r="O194" i="53"/>
  <c r="O216" i="53"/>
  <c r="O182" i="53"/>
  <c r="O241" i="53" s="1"/>
  <c r="O256" i="53" s="1"/>
  <c r="L114" i="47" s="1"/>
  <c r="O205" i="53"/>
  <c r="R236" i="53"/>
  <c r="R251" i="53" s="1"/>
  <c r="O113" i="47" s="1"/>
  <c r="Q236" i="53"/>
  <c r="Q251" i="53" s="1"/>
  <c r="N113" i="47" s="1"/>
  <c r="U167" i="53"/>
  <c r="V75" i="53"/>
  <c r="AV97" i="53"/>
  <c r="AV156" i="53" s="1"/>
  <c r="AC97" i="53"/>
  <c r="AC156" i="53" s="1"/>
  <c r="S238" i="53"/>
  <c r="S253" i="53" s="1"/>
  <c r="P117" i="47" s="1"/>
  <c r="Q225" i="53"/>
  <c r="Q263" i="53" s="1"/>
  <c r="N126" i="47" s="1"/>
  <c r="AD179" i="53"/>
  <c r="AD202" i="53"/>
  <c r="AD191" i="53"/>
  <c r="AD213" i="53"/>
  <c r="AV191" i="53"/>
  <c r="AV202" i="53"/>
  <c r="AV179" i="53"/>
  <c r="AV213" i="53"/>
  <c r="T225" i="53"/>
  <c r="T263" i="53" s="1"/>
  <c r="Q126" i="47" s="1"/>
  <c r="AD85" i="53"/>
  <c r="AC190" i="53"/>
  <c r="AC212" i="53"/>
  <c r="AC178" i="53"/>
  <c r="AC201" i="53"/>
  <c r="T81" i="53"/>
  <c r="AV81" i="53"/>
  <c r="AC81" i="53"/>
  <c r="AE163" i="53"/>
  <c r="AF71" i="53"/>
  <c r="U165" i="53"/>
  <c r="V73" i="53"/>
  <c r="AD82" i="53"/>
  <c r="AC187" i="53"/>
  <c r="AC209" i="53"/>
  <c r="AC175" i="53"/>
  <c r="AC198" i="53"/>
  <c r="T175" i="53"/>
  <c r="T187" i="53"/>
  <c r="T198" i="53"/>
  <c r="T209" i="53"/>
  <c r="U82" i="53"/>
  <c r="Q92" i="53"/>
  <c r="Q151" i="53" s="1"/>
  <c r="Q233" i="53" s="1"/>
  <c r="Q248" i="53" s="1"/>
  <c r="N109" i="47" s="1"/>
  <c r="U162" i="53"/>
  <c r="V70" i="53"/>
  <c r="W78" i="53"/>
  <c r="V170" i="53"/>
  <c r="M159" i="53"/>
  <c r="M241" i="53" s="1"/>
  <c r="M256" i="53" s="1"/>
  <c r="J114" i="47" s="1"/>
  <c r="N100" i="53"/>
  <c r="N159" i="53" s="1"/>
  <c r="N241" i="53" s="1"/>
  <c r="N256" i="53" s="1"/>
  <c r="K114" i="47" s="1"/>
  <c r="U100" i="53"/>
  <c r="AC100" i="53"/>
  <c r="AC159" i="53" s="1"/>
  <c r="AV100" i="53"/>
  <c r="AV159" i="53" s="1"/>
  <c r="AD100" i="53"/>
  <c r="AD159" i="53" s="1"/>
  <c r="AB228" i="53"/>
  <c r="AB266" i="53" s="1"/>
  <c r="Y123" i="47" s="1"/>
  <c r="AB241" i="53"/>
  <c r="AB256" i="53" s="1"/>
  <c r="Y114" i="47" s="1"/>
  <c r="T182" i="53"/>
  <c r="T241" i="53" s="1"/>
  <c r="T256" i="53" s="1"/>
  <c r="Q114" i="47" s="1"/>
  <c r="T205" i="53"/>
  <c r="T194" i="53"/>
  <c r="T216" i="53"/>
  <c r="U89" i="53"/>
  <c r="W166" i="53"/>
  <c r="X74" i="53"/>
  <c r="AP255" i="53"/>
  <c r="AM116" i="47" s="1"/>
  <c r="AL116" i="47"/>
  <c r="AD158" i="53"/>
  <c r="AD240" i="53" s="1"/>
  <c r="AD255" i="53" s="1"/>
  <c r="AA116" i="47" s="1"/>
  <c r="AE99" i="53"/>
  <c r="AV188" i="53"/>
  <c r="AV176" i="53"/>
  <c r="AV199" i="53"/>
  <c r="AV210" i="53"/>
  <c r="T199" i="53"/>
  <c r="T176" i="53"/>
  <c r="T188" i="53"/>
  <c r="T210" i="53"/>
  <c r="U83" i="53"/>
  <c r="U84" i="53"/>
  <c r="AB211" i="53"/>
  <c r="AB177" i="53"/>
  <c r="AB189" i="53"/>
  <c r="AB200" i="53"/>
  <c r="S177" i="53"/>
  <c r="S200" i="53"/>
  <c r="S211" i="53"/>
  <c r="S189" i="53"/>
  <c r="I95" i="53"/>
  <c r="AB95" i="53"/>
  <c r="AB154" i="53" s="1"/>
  <c r="S95" i="53"/>
  <c r="S154" i="53" s="1"/>
  <c r="S236" i="53" s="1"/>
  <c r="S251" i="53" s="1"/>
  <c r="P113" i="47" s="1"/>
  <c r="AV93" i="53"/>
  <c r="AV152" i="53" s="1"/>
  <c r="AC93" i="53"/>
  <c r="AC152" i="53" s="1"/>
  <c r="S234" i="53"/>
  <c r="S249" i="53" s="1"/>
  <c r="P111" i="47" s="1"/>
  <c r="AB224" i="53"/>
  <c r="AB262" i="53" s="1"/>
  <c r="Y124" i="47" s="1"/>
  <c r="T212" i="53"/>
  <c r="T178" i="53"/>
  <c r="T201" i="53"/>
  <c r="T190" i="53"/>
  <c r="U85" i="53"/>
  <c r="R233" i="53"/>
  <c r="R248" i="53" s="1"/>
  <c r="O109" i="47" s="1"/>
  <c r="R220" i="53"/>
  <c r="T96" i="53"/>
  <c r="S221" i="53"/>
  <c r="S259" i="53" s="1"/>
  <c r="P120" i="47" s="1"/>
  <c r="AB221" i="53"/>
  <c r="AB259" i="53" s="1"/>
  <c r="Y120" i="47" s="1"/>
  <c r="T94" i="53"/>
  <c r="V157" i="53"/>
  <c r="V239" i="53" s="1"/>
  <c r="V254" i="53" s="1"/>
  <c r="S110" i="47" s="1"/>
  <c r="AL110" i="47"/>
  <c r="AP254" i="53"/>
  <c r="AM110" i="47" s="1"/>
  <c r="AD89" i="53"/>
  <c r="AC182" i="53"/>
  <c r="AC194" i="53"/>
  <c r="AC216" i="53"/>
  <c r="AC205" i="53"/>
  <c r="P82" i="53"/>
  <c r="O187" i="53"/>
  <c r="O198" i="53"/>
  <c r="O175" i="53"/>
  <c r="O234" i="53" s="1"/>
  <c r="O249" i="53" s="1"/>
  <c r="L111" i="47" s="1"/>
  <c r="O209" i="53"/>
  <c r="N225" i="53"/>
  <c r="N263" i="53" s="1"/>
  <c r="K126" i="47" s="1"/>
  <c r="N190" i="53"/>
  <c r="N212" i="53"/>
  <c r="N201" i="53"/>
  <c r="N178" i="53"/>
  <c r="N237" i="53" s="1"/>
  <c r="N252" i="53" s="1"/>
  <c r="K115" i="47" s="1"/>
  <c r="S222" i="53"/>
  <c r="S260" i="53" s="1"/>
  <c r="P121" i="47" s="1"/>
  <c r="AB235" i="53"/>
  <c r="AB250" i="53" s="1"/>
  <c r="Y112" i="47" s="1"/>
  <c r="N222" i="53"/>
  <c r="N260" i="53" s="1"/>
  <c r="K121" i="47" s="1"/>
  <c r="R223" i="53"/>
  <c r="R261" i="53" s="1"/>
  <c r="O122" i="47" s="1"/>
  <c r="N234" i="53"/>
  <c r="N249" i="53" s="1"/>
  <c r="K111" i="47" s="1"/>
  <c r="T97" i="53"/>
  <c r="Q238" i="53"/>
  <c r="Q253" i="53" s="1"/>
  <c r="N117" i="47" s="1"/>
  <c r="AE86" i="53"/>
  <c r="AC191" i="53"/>
  <c r="AC213" i="53"/>
  <c r="AC179" i="53"/>
  <c r="AC202" i="53"/>
  <c r="AV178" i="53"/>
  <c r="AV237" i="53" s="1"/>
  <c r="AN252" i="53" s="1"/>
  <c r="AV212" i="53"/>
  <c r="AV190" i="53"/>
  <c r="AV201" i="53"/>
  <c r="S224" i="53"/>
  <c r="S262" i="53" s="1"/>
  <c r="P124" i="47" s="1"/>
  <c r="AE73" i="53" l="1"/>
  <c r="AG72" i="53"/>
  <c r="AH72" i="53" s="1"/>
  <c r="AC238" i="53"/>
  <c r="AC253" i="53" s="1"/>
  <c r="Z117" i="47" s="1"/>
  <c r="U93" i="53"/>
  <c r="U152" i="53" s="1"/>
  <c r="AV235" i="53"/>
  <c r="AN250" i="53" s="1"/>
  <c r="T234" i="53"/>
  <c r="T249" i="53" s="1"/>
  <c r="Q111" i="47" s="1"/>
  <c r="AD97" i="53"/>
  <c r="AD156" i="53" s="1"/>
  <c r="AV228" i="53"/>
  <c r="AN266" i="53" s="1"/>
  <c r="AO266" i="53" s="1"/>
  <c r="AD238" i="53"/>
  <c r="AD253" i="53" s="1"/>
  <c r="AA117" i="47" s="1"/>
  <c r="O221" i="53"/>
  <c r="O259" i="53" s="1"/>
  <c r="L120" i="47" s="1"/>
  <c r="AC228" i="53"/>
  <c r="AC266" i="53" s="1"/>
  <c r="Z123" i="47" s="1"/>
  <c r="O228" i="53"/>
  <c r="O266" i="53" s="1"/>
  <c r="L123" i="47" s="1"/>
  <c r="T92" i="53"/>
  <c r="T151" i="53" s="1"/>
  <c r="AV221" i="53"/>
  <c r="AN259" i="53" s="1"/>
  <c r="AK120" i="47" s="1"/>
  <c r="AV224" i="53"/>
  <c r="AN262" i="53" s="1"/>
  <c r="AO262" i="53" s="1"/>
  <c r="AC225" i="53"/>
  <c r="AC263" i="53" s="1"/>
  <c r="Z126" i="47" s="1"/>
  <c r="AC241" i="53"/>
  <c r="AC256" i="53" s="1"/>
  <c r="Z114" i="47" s="1"/>
  <c r="AD93" i="53"/>
  <c r="AD152" i="53" s="1"/>
  <c r="AB223" i="53"/>
  <c r="AB261" i="53" s="1"/>
  <c r="Y122" i="47" s="1"/>
  <c r="T222" i="53"/>
  <c r="T260" i="53" s="1"/>
  <c r="Q121" i="47" s="1"/>
  <c r="AE100" i="53"/>
  <c r="AE159" i="53" s="1"/>
  <c r="AC234" i="53"/>
  <c r="AC249" i="53" s="1"/>
  <c r="Z111" i="47" s="1"/>
  <c r="AC224" i="53"/>
  <c r="AC262" i="53" s="1"/>
  <c r="Z124" i="47" s="1"/>
  <c r="AV238" i="53"/>
  <c r="AN253" i="53" s="1"/>
  <c r="AO253" i="53" s="1"/>
  <c r="AV225" i="53"/>
  <c r="AN263" i="53" s="1"/>
  <c r="AD225" i="53"/>
  <c r="AD263" i="53" s="1"/>
  <c r="AA126" i="47" s="1"/>
  <c r="AB220" i="53"/>
  <c r="AE167" i="53"/>
  <c r="AF75" i="53"/>
  <c r="AK124" i="47"/>
  <c r="AO252" i="53"/>
  <c r="AK115" i="47"/>
  <c r="N224" i="53"/>
  <c r="N262" i="53" s="1"/>
  <c r="K124" i="47" s="1"/>
  <c r="AD194" i="53"/>
  <c r="AD182" i="53"/>
  <c r="AD241" i="53" s="1"/>
  <c r="AD256" i="53" s="1"/>
  <c r="AA114" i="47" s="1"/>
  <c r="AD216" i="53"/>
  <c r="AD205" i="53"/>
  <c r="AE89" i="53"/>
  <c r="AE165" i="53"/>
  <c r="AF73" i="53"/>
  <c r="R245" i="53"/>
  <c r="R258" i="53"/>
  <c r="O118" i="47" s="1"/>
  <c r="U178" i="53"/>
  <c r="U212" i="53"/>
  <c r="U201" i="53"/>
  <c r="U190" i="53"/>
  <c r="V85" i="53"/>
  <c r="AV95" i="53"/>
  <c r="AV154" i="53" s="1"/>
  <c r="AC95" i="53"/>
  <c r="AC154" i="53" s="1"/>
  <c r="U210" i="53"/>
  <c r="U188" i="53"/>
  <c r="U199" i="53"/>
  <c r="U176" i="53"/>
  <c r="V83" i="53"/>
  <c r="AV222" i="53"/>
  <c r="AN260" i="53" s="1"/>
  <c r="U159" i="53"/>
  <c r="V100" i="53"/>
  <c r="W170" i="53"/>
  <c r="X78" i="53"/>
  <c r="U209" i="53"/>
  <c r="U175" i="53"/>
  <c r="U198" i="53"/>
  <c r="U187" i="53"/>
  <c r="V82" i="53"/>
  <c r="V165" i="53"/>
  <c r="W73" i="53"/>
  <c r="AF163" i="53"/>
  <c r="AG71" i="53"/>
  <c r="AC174" i="53"/>
  <c r="AC186" i="53"/>
  <c r="AC208" i="53"/>
  <c r="AC197" i="53"/>
  <c r="T197" i="53"/>
  <c r="T174" i="53"/>
  <c r="T233" i="53" s="1"/>
  <c r="T248" i="53" s="1"/>
  <c r="Q109" i="47" s="1"/>
  <c r="T186" i="53"/>
  <c r="T208" i="53"/>
  <c r="U81" i="53"/>
  <c r="AK117" i="47"/>
  <c r="AO263" i="53"/>
  <c r="AK126" i="47"/>
  <c r="V158" i="53"/>
  <c r="V240" i="53" s="1"/>
  <c r="V255" i="53" s="1"/>
  <c r="S116" i="47" s="1"/>
  <c r="W99" i="53"/>
  <c r="AE170" i="53"/>
  <c r="AF78" i="53"/>
  <c r="AE94" i="53"/>
  <c r="AD153" i="53"/>
  <c r="AD96" i="53"/>
  <c r="AC155" i="53"/>
  <c r="AC237" i="53" s="1"/>
  <c r="AC252" i="53" s="1"/>
  <c r="Z115" i="47" s="1"/>
  <c r="AD84" i="53"/>
  <c r="AC189" i="53"/>
  <c r="AC211" i="53"/>
  <c r="AC200" i="53"/>
  <c r="AC177" i="53"/>
  <c r="AC236" i="53" s="1"/>
  <c r="AC251" i="53" s="1"/>
  <c r="Z113" i="47" s="1"/>
  <c r="AD176" i="53"/>
  <c r="AD235" i="53" s="1"/>
  <c r="AD250" i="53" s="1"/>
  <c r="AA112" i="47" s="1"/>
  <c r="AD210" i="53"/>
  <c r="AD188" i="53"/>
  <c r="AD199" i="53"/>
  <c r="AE83" i="53"/>
  <c r="AD162" i="53"/>
  <c r="AE70" i="53"/>
  <c r="N197" i="53"/>
  <c r="N186" i="53"/>
  <c r="N208" i="53"/>
  <c r="N174" i="53"/>
  <c r="N233" i="53" s="1"/>
  <c r="N248" i="53" s="1"/>
  <c r="K109" i="47" s="1"/>
  <c r="AV234" i="53"/>
  <c r="AN249" i="53" s="1"/>
  <c r="AE166" i="53"/>
  <c r="AF74" i="53"/>
  <c r="AG164" i="53"/>
  <c r="AB258" i="53"/>
  <c r="Y118" i="47" s="1"/>
  <c r="AB233" i="53"/>
  <c r="AB248" i="53" s="1"/>
  <c r="Y109" i="47" s="1"/>
  <c r="AE191" i="53"/>
  <c r="AE213" i="53"/>
  <c r="AE179" i="53"/>
  <c r="AE202" i="53"/>
  <c r="AF86" i="53"/>
  <c r="T156" i="53"/>
  <c r="T238" i="53" s="1"/>
  <c r="T253" i="53" s="1"/>
  <c r="Q117" i="47" s="1"/>
  <c r="U97" i="53"/>
  <c r="P198" i="53"/>
  <c r="P187" i="53"/>
  <c r="P209" i="53"/>
  <c r="P175" i="53"/>
  <c r="P234" i="53" s="1"/>
  <c r="P249" i="53" s="1"/>
  <c r="M111" i="47" s="1"/>
  <c r="Q82" i="53"/>
  <c r="W157" i="53"/>
  <c r="W239" i="53" s="1"/>
  <c r="W254" i="53" s="1"/>
  <c r="T110" i="47" s="1"/>
  <c r="X98" i="53"/>
  <c r="T153" i="53"/>
  <c r="T235" i="53" s="1"/>
  <c r="T250" i="53" s="1"/>
  <c r="Q112" i="47" s="1"/>
  <c r="U94" i="53"/>
  <c r="T155" i="53"/>
  <c r="T237" i="53" s="1"/>
  <c r="T252" i="53" s="1"/>
  <c r="Q115" i="47" s="1"/>
  <c r="U96" i="53"/>
  <c r="T224" i="53"/>
  <c r="T262" i="53" s="1"/>
  <c r="Q124" i="47" s="1"/>
  <c r="V93" i="53"/>
  <c r="T95" i="53"/>
  <c r="S223" i="53"/>
  <c r="S261" i="53" s="1"/>
  <c r="P122" i="47" s="1"/>
  <c r="AB236" i="53"/>
  <c r="AB251" i="53" s="1"/>
  <c r="Y113" i="47" s="1"/>
  <c r="U177" i="53"/>
  <c r="U211" i="53"/>
  <c r="U200" i="53"/>
  <c r="U189" i="53"/>
  <c r="V84" i="53"/>
  <c r="AK112" i="47"/>
  <c r="AO250" i="53"/>
  <c r="AE158" i="53"/>
  <c r="AE240" i="53" s="1"/>
  <c r="AE255" i="53" s="1"/>
  <c r="AB116" i="47" s="1"/>
  <c r="AF99" i="53"/>
  <c r="X166" i="53"/>
  <c r="Y74" i="53"/>
  <c r="U205" i="53"/>
  <c r="U194" i="53"/>
  <c r="U182" i="53"/>
  <c r="U216" i="53"/>
  <c r="V89" i="53"/>
  <c r="T228" i="53"/>
  <c r="T266" i="53" s="1"/>
  <c r="Q123" i="47" s="1"/>
  <c r="AF100" i="53"/>
  <c r="V162" i="53"/>
  <c r="W70" i="53"/>
  <c r="T221" i="53"/>
  <c r="T259" i="53" s="1"/>
  <c r="Q120" i="47" s="1"/>
  <c r="AC221" i="53"/>
  <c r="AC259" i="53" s="1"/>
  <c r="Z120" i="47" s="1"/>
  <c r="AD175" i="53"/>
  <c r="AD234" i="53" s="1"/>
  <c r="AD249" i="53" s="1"/>
  <c r="AA111" i="47" s="1"/>
  <c r="AD198" i="53"/>
  <c r="AD187" i="53"/>
  <c r="AD209" i="53"/>
  <c r="AE82" i="53"/>
  <c r="AD81" i="53"/>
  <c r="AV186" i="53"/>
  <c r="AV174" i="53"/>
  <c r="AV197" i="53"/>
  <c r="AV208" i="53"/>
  <c r="AD212" i="53"/>
  <c r="AD178" i="53"/>
  <c r="AD201" i="53"/>
  <c r="AD190" i="53"/>
  <c r="AE85" i="53"/>
  <c r="V167" i="53"/>
  <c r="W75" i="53"/>
  <c r="P194" i="53"/>
  <c r="P216" i="53"/>
  <c r="P205" i="53"/>
  <c r="P182" i="53"/>
  <c r="P241" i="53" s="1"/>
  <c r="P256" i="53" s="1"/>
  <c r="M114" i="47" s="1"/>
  <c r="Q89" i="53"/>
  <c r="AV241" i="53"/>
  <c r="AN256" i="53" s="1"/>
  <c r="V213" i="53"/>
  <c r="V179" i="53"/>
  <c r="V202" i="53"/>
  <c r="V191" i="53"/>
  <c r="W86" i="53"/>
  <c r="U225" i="53"/>
  <c r="U263" i="53" s="1"/>
  <c r="R126" i="47" s="1"/>
  <c r="M154" i="53"/>
  <c r="M236" i="53" s="1"/>
  <c r="M251" i="53" s="1"/>
  <c r="J113" i="47" s="1"/>
  <c r="N95" i="53"/>
  <c r="N154" i="53" s="1"/>
  <c r="N236" i="53" s="1"/>
  <c r="N251" i="53" s="1"/>
  <c r="K113" i="47" s="1"/>
  <c r="AV200" i="53"/>
  <c r="AV211" i="53"/>
  <c r="AV189" i="53"/>
  <c r="AV177" i="53"/>
  <c r="T223" i="53"/>
  <c r="T261" i="53" s="1"/>
  <c r="Q122" i="47" s="1"/>
  <c r="AC235" i="53"/>
  <c r="AC250" i="53" s="1"/>
  <c r="Z112" i="47" s="1"/>
  <c r="AC222" i="53"/>
  <c r="AC260" i="53" s="1"/>
  <c r="Z121" i="47" s="1"/>
  <c r="V164" i="53"/>
  <c r="W72" i="53"/>
  <c r="W163" i="53"/>
  <c r="X71" i="53"/>
  <c r="AG157" i="53"/>
  <c r="AG239" i="53" s="1"/>
  <c r="AG254" i="53" s="1"/>
  <c r="AD110" i="47" s="1"/>
  <c r="AH98" i="53"/>
  <c r="U92" i="53"/>
  <c r="AV92" i="53"/>
  <c r="AV151" i="53" s="1"/>
  <c r="AC92" i="53"/>
  <c r="AC151" i="53" s="1"/>
  <c r="M220" i="53"/>
  <c r="L245" i="53"/>
  <c r="N223" i="53"/>
  <c r="N261" i="53" s="1"/>
  <c r="K122" i="47" s="1"/>
  <c r="S220" i="53"/>
  <c r="AE93" i="53" l="1"/>
  <c r="AO259" i="53"/>
  <c r="AP259" i="53" s="1"/>
  <c r="AM120" i="47" s="1"/>
  <c r="AK123" i="47"/>
  <c r="U234" i="53"/>
  <c r="U249" i="53" s="1"/>
  <c r="R111" i="47" s="1"/>
  <c r="O245" i="53"/>
  <c r="AD95" i="53"/>
  <c r="AD154" i="53" s="1"/>
  <c r="AE97" i="53"/>
  <c r="AF97" i="53" s="1"/>
  <c r="AV236" i="53"/>
  <c r="AN251" i="53" s="1"/>
  <c r="AK113" i="47" s="1"/>
  <c r="AD224" i="53"/>
  <c r="AD262" i="53" s="1"/>
  <c r="AA124" i="47" s="1"/>
  <c r="U223" i="53"/>
  <c r="U261" i="53" s="1"/>
  <c r="R122" i="47" s="1"/>
  <c r="P221" i="53"/>
  <c r="AE95" i="53"/>
  <c r="U224" i="53"/>
  <c r="U262" i="53" s="1"/>
  <c r="R124" i="47" s="1"/>
  <c r="AE225" i="53"/>
  <c r="AE263" i="53" s="1"/>
  <c r="AB126" i="47" s="1"/>
  <c r="AD222" i="53"/>
  <c r="AD260" i="53" s="1"/>
  <c r="AA121" i="47" s="1"/>
  <c r="AE156" i="53"/>
  <c r="AE238" i="53" s="1"/>
  <c r="AE253" i="53" s="1"/>
  <c r="AB117" i="47" s="1"/>
  <c r="V225" i="53"/>
  <c r="V263" i="53" s="1"/>
  <c r="S126" i="47" s="1"/>
  <c r="AV233" i="53"/>
  <c r="AN248" i="53" s="1"/>
  <c r="AK109" i="47" s="1"/>
  <c r="AC220" i="53"/>
  <c r="AF167" i="53"/>
  <c r="AG75" i="53"/>
  <c r="U151" i="53"/>
  <c r="V92" i="53"/>
  <c r="AO251" i="53"/>
  <c r="AO256" i="53"/>
  <c r="AK114" i="47"/>
  <c r="W167" i="53"/>
  <c r="X75" i="53"/>
  <c r="AD208" i="53"/>
  <c r="AD174" i="53"/>
  <c r="AD186" i="53"/>
  <c r="AD197" i="53"/>
  <c r="AE81" i="53"/>
  <c r="W162" i="53"/>
  <c r="X70" i="53"/>
  <c r="AF159" i="53"/>
  <c r="AG100" i="53"/>
  <c r="V182" i="53"/>
  <c r="V205" i="53"/>
  <c r="V194" i="53"/>
  <c r="V216" i="53"/>
  <c r="W89" i="53"/>
  <c r="T154" i="53"/>
  <c r="T236" i="53" s="1"/>
  <c r="T251" i="53" s="1"/>
  <c r="Q113" i="47" s="1"/>
  <c r="U95" i="53"/>
  <c r="P259" i="53"/>
  <c r="M120" i="47" s="1"/>
  <c r="U156" i="53"/>
  <c r="U238" i="53" s="1"/>
  <c r="U253" i="53" s="1"/>
  <c r="R117" i="47" s="1"/>
  <c r="V97" i="53"/>
  <c r="AF191" i="53"/>
  <c r="AF202" i="53"/>
  <c r="AF179" i="53"/>
  <c r="AF213" i="53"/>
  <c r="AG86" i="53"/>
  <c r="AB245" i="53"/>
  <c r="AH164" i="53"/>
  <c r="AI72" i="53"/>
  <c r="AF166" i="53"/>
  <c r="AG74" i="53"/>
  <c r="AL120" i="47"/>
  <c r="AO249" i="53"/>
  <c r="AK111" i="47"/>
  <c r="AE162" i="53"/>
  <c r="AF70" i="53"/>
  <c r="AE210" i="53"/>
  <c r="AE188" i="53"/>
  <c r="AE199" i="53"/>
  <c r="AE176" i="53"/>
  <c r="AF83" i="53"/>
  <c r="AC223" i="53"/>
  <c r="AC261" i="53" s="1"/>
  <c r="Z122" i="47" s="1"/>
  <c r="AF170" i="53"/>
  <c r="AG78" i="53"/>
  <c r="AL123" i="47"/>
  <c r="AP266" i="53"/>
  <c r="AM123" i="47" s="1"/>
  <c r="W158" i="53"/>
  <c r="W240" i="53" s="1"/>
  <c r="W255" i="53" s="1"/>
  <c r="T116" i="47" s="1"/>
  <c r="X99" i="53"/>
  <c r="AL117" i="47"/>
  <c r="AP253" i="53"/>
  <c r="AM117" i="47" s="1"/>
  <c r="AC258" i="53"/>
  <c r="Z118" i="47" s="1"/>
  <c r="AG163" i="53"/>
  <c r="AH71" i="53"/>
  <c r="W165" i="53"/>
  <c r="X73" i="53"/>
  <c r="V209" i="53"/>
  <c r="V175" i="53"/>
  <c r="V187" i="53"/>
  <c r="V198" i="53"/>
  <c r="W82" i="53"/>
  <c r="U241" i="53"/>
  <c r="U256" i="53" s="1"/>
  <c r="R114" i="47" s="1"/>
  <c r="V176" i="53"/>
  <c r="V199" i="53"/>
  <c r="V188" i="53"/>
  <c r="V210" i="53"/>
  <c r="W83" i="53"/>
  <c r="AF165" i="53"/>
  <c r="AG73" i="53"/>
  <c r="AE182" i="53"/>
  <c r="AE241" i="53" s="1"/>
  <c r="AE256" i="53" s="1"/>
  <c r="AB114" i="47" s="1"/>
  <c r="AE216" i="53"/>
  <c r="AE194" i="53"/>
  <c r="AE205" i="53"/>
  <c r="AF89" i="53"/>
  <c r="S245" i="53"/>
  <c r="S258" i="53"/>
  <c r="P118" i="47" s="1"/>
  <c r="M258" i="53"/>
  <c r="J118" i="47" s="1"/>
  <c r="M245" i="53"/>
  <c r="AD92" i="53"/>
  <c r="AH157" i="53"/>
  <c r="AH239" i="53" s="1"/>
  <c r="AH254" i="53" s="1"/>
  <c r="AE110" i="47" s="1"/>
  <c r="AI98" i="53"/>
  <c r="X163" i="53"/>
  <c r="Y71" i="53"/>
  <c r="W164" i="53"/>
  <c r="X72" i="53"/>
  <c r="AV223" i="53"/>
  <c r="AN261" i="53" s="1"/>
  <c r="W179" i="53"/>
  <c r="W191" i="53"/>
  <c r="W213" i="53"/>
  <c r="W202" i="53"/>
  <c r="X86" i="53"/>
  <c r="Q205" i="53"/>
  <c r="Q216" i="53"/>
  <c r="Q182" i="53"/>
  <c r="Q241" i="53" s="1"/>
  <c r="Q256" i="53" s="1"/>
  <c r="N114" i="47" s="1"/>
  <c r="Q194" i="53"/>
  <c r="P228" i="53"/>
  <c r="P266" i="53" s="1"/>
  <c r="M123" i="47" s="1"/>
  <c r="AE212" i="53"/>
  <c r="AE178" i="53"/>
  <c r="AE190" i="53"/>
  <c r="AE201" i="53"/>
  <c r="AF85" i="53"/>
  <c r="AV220" i="53"/>
  <c r="AE187" i="53"/>
  <c r="AE209" i="53"/>
  <c r="AE175" i="53"/>
  <c r="AE198" i="53"/>
  <c r="AF82" i="53"/>
  <c r="AD221" i="53"/>
  <c r="AD259" i="53" s="1"/>
  <c r="AA120" i="47" s="1"/>
  <c r="U228" i="53"/>
  <c r="U266" i="53" s="1"/>
  <c r="R123" i="47" s="1"/>
  <c r="Y166" i="53"/>
  <c r="Z74" i="53"/>
  <c r="AF158" i="53"/>
  <c r="AF240" i="53" s="1"/>
  <c r="AF255" i="53" s="1"/>
  <c r="AC116" i="47" s="1"/>
  <c r="AG99" i="53"/>
  <c r="AP250" i="53"/>
  <c r="AM112" i="47" s="1"/>
  <c r="AL112" i="47"/>
  <c r="V200" i="53"/>
  <c r="V189" i="53"/>
  <c r="V211" i="53"/>
  <c r="V177" i="53"/>
  <c r="W84" i="53"/>
  <c r="V152" i="53"/>
  <c r="W93" i="53"/>
  <c r="AE152" i="53"/>
  <c r="AF93" i="53"/>
  <c r="U155" i="53"/>
  <c r="U237" i="53" s="1"/>
  <c r="U252" i="53" s="1"/>
  <c r="R115" i="47" s="1"/>
  <c r="V96" i="53"/>
  <c r="U153" i="53"/>
  <c r="U235" i="53" s="1"/>
  <c r="U250" i="53" s="1"/>
  <c r="R112" i="47" s="1"/>
  <c r="V94" i="53"/>
  <c r="X157" i="53"/>
  <c r="X239" i="53" s="1"/>
  <c r="X254" i="53" s="1"/>
  <c r="U110" i="47" s="1"/>
  <c r="Y98" i="53"/>
  <c r="Q175" i="53"/>
  <c r="Q234" i="53" s="1"/>
  <c r="Q249" i="53" s="1"/>
  <c r="N111" i="47" s="1"/>
  <c r="Q209" i="53"/>
  <c r="Q187" i="53"/>
  <c r="Q198" i="53"/>
  <c r="N220" i="53"/>
  <c r="AD177" i="53"/>
  <c r="AD189" i="53"/>
  <c r="AD211" i="53"/>
  <c r="AD200" i="53"/>
  <c r="AE84" i="53"/>
  <c r="AD155" i="53"/>
  <c r="AD237" i="53" s="1"/>
  <c r="AD252" i="53" s="1"/>
  <c r="AA115" i="47" s="1"/>
  <c r="AE96" i="53"/>
  <c r="AE153" i="53"/>
  <c r="AF94" i="53"/>
  <c r="AP263" i="53"/>
  <c r="AM126" i="47" s="1"/>
  <c r="AL126" i="47"/>
  <c r="U186" i="53"/>
  <c r="U208" i="53"/>
  <c r="U174" i="53"/>
  <c r="U197" i="53"/>
  <c r="V81" i="53"/>
  <c r="T220" i="53"/>
  <c r="AC233" i="53"/>
  <c r="AC248" i="53" s="1"/>
  <c r="Z109" i="47" s="1"/>
  <c r="U221" i="53"/>
  <c r="U259" i="53" s="1"/>
  <c r="R120" i="47" s="1"/>
  <c r="X170" i="53"/>
  <c r="Y78" i="53"/>
  <c r="V159" i="53"/>
  <c r="W100" i="53"/>
  <c r="AK121" i="47"/>
  <c r="AO260" i="53"/>
  <c r="U222" i="53"/>
  <c r="U260" i="53" s="1"/>
  <c r="R121" i="47" s="1"/>
  <c r="V190" i="53"/>
  <c r="V201" i="53"/>
  <c r="V212" i="53"/>
  <c r="V178" i="53"/>
  <c r="W85" i="53"/>
  <c r="AD228" i="53"/>
  <c r="AD266" i="53" s="1"/>
  <c r="AA123" i="47" s="1"/>
  <c r="AL115" i="47"/>
  <c r="AP252" i="53"/>
  <c r="AM115" i="47" s="1"/>
  <c r="AL124" i="47"/>
  <c r="AP262" i="53"/>
  <c r="AM124" i="47" s="1"/>
  <c r="AD236" i="53" l="1"/>
  <c r="AD251" i="53" s="1"/>
  <c r="AA113" i="47" s="1"/>
  <c r="AO248" i="53"/>
  <c r="AP248" i="53" s="1"/>
  <c r="AM109" i="47" s="1"/>
  <c r="V241" i="53"/>
  <c r="V256" i="53" s="1"/>
  <c r="S114" i="47" s="1"/>
  <c r="AE154" i="53"/>
  <c r="AF95" i="53"/>
  <c r="AF156" i="53"/>
  <c r="AG97" i="53"/>
  <c r="AF238" i="53"/>
  <c r="AF253" i="53" s="1"/>
  <c r="AC117" i="47" s="1"/>
  <c r="AE228" i="53"/>
  <c r="AE266" i="53" s="1"/>
  <c r="AB123" i="47" s="1"/>
  <c r="AE221" i="53"/>
  <c r="AE259" i="53" s="1"/>
  <c r="AB120" i="47" s="1"/>
  <c r="AE235" i="53"/>
  <c r="AE250" i="53" s="1"/>
  <c r="AB112" i="47" s="1"/>
  <c r="AE222" i="53"/>
  <c r="AE260" i="53" s="1"/>
  <c r="AB121" i="47" s="1"/>
  <c r="AH75" i="53"/>
  <c r="AG167" i="53"/>
  <c r="AP260" i="53"/>
  <c r="AM121" i="47" s="1"/>
  <c r="AL121" i="47"/>
  <c r="W159" i="53"/>
  <c r="X100" i="53"/>
  <c r="Y170" i="53"/>
  <c r="Z78" i="53"/>
  <c r="T245" i="53"/>
  <c r="T258" i="53"/>
  <c r="Q118" i="47" s="1"/>
  <c r="AF153" i="53"/>
  <c r="AG94" i="53"/>
  <c r="AE155" i="53"/>
  <c r="AF96" i="53"/>
  <c r="AE211" i="53"/>
  <c r="AE177" i="53"/>
  <c r="AE236" i="53" s="1"/>
  <c r="AE251" i="53" s="1"/>
  <c r="AB113" i="47" s="1"/>
  <c r="AE189" i="53"/>
  <c r="AE200" i="53"/>
  <c r="AF84" i="53"/>
  <c r="Y157" i="53"/>
  <c r="Y239" i="53" s="1"/>
  <c r="Y254" i="53" s="1"/>
  <c r="V110" i="47" s="1"/>
  <c r="Z98" i="53"/>
  <c r="V153" i="53"/>
  <c r="V235" i="53" s="1"/>
  <c r="V250" i="53" s="1"/>
  <c r="S112" i="47" s="1"/>
  <c r="W94" i="53"/>
  <c r="V155" i="53"/>
  <c r="V237" i="53" s="1"/>
  <c r="V252" i="53" s="1"/>
  <c r="S115" i="47" s="1"/>
  <c r="W96" i="53"/>
  <c r="AF152" i="53"/>
  <c r="AG93" i="53"/>
  <c r="W152" i="53"/>
  <c r="X93" i="53"/>
  <c r="W177" i="53"/>
  <c r="W200" i="53"/>
  <c r="W189" i="53"/>
  <c r="W211" i="53"/>
  <c r="X84" i="53"/>
  <c r="AN258" i="53"/>
  <c r="AV245" i="53"/>
  <c r="AE237" i="53"/>
  <c r="AE252" i="53" s="1"/>
  <c r="AB115" i="47" s="1"/>
  <c r="W225" i="53"/>
  <c r="W263" i="53" s="1"/>
  <c r="T126" i="47" s="1"/>
  <c r="AK122" i="47"/>
  <c r="AO261" i="53"/>
  <c r="AF194" i="53"/>
  <c r="AF216" i="53"/>
  <c r="AF205" i="53"/>
  <c r="AF182" i="53"/>
  <c r="AF241" i="53" s="1"/>
  <c r="AF256" i="53" s="1"/>
  <c r="AC114" i="47" s="1"/>
  <c r="AG89" i="53"/>
  <c r="X165" i="53"/>
  <c r="Y73" i="53"/>
  <c r="AH163" i="53"/>
  <c r="AI71" i="53"/>
  <c r="X158" i="53"/>
  <c r="X240" i="53" s="1"/>
  <c r="X255" i="53" s="1"/>
  <c r="U116" i="47" s="1"/>
  <c r="Y99" i="53"/>
  <c r="AG170" i="53"/>
  <c r="AH78" i="53"/>
  <c r="AF162" i="53"/>
  <c r="AG70" i="53"/>
  <c r="AG166" i="53"/>
  <c r="AH74" i="53"/>
  <c r="AI164" i="53"/>
  <c r="AJ72" i="53"/>
  <c r="V156" i="53"/>
  <c r="V238" i="53" s="1"/>
  <c r="V253" i="53" s="1"/>
  <c r="S117" i="47" s="1"/>
  <c r="W97" i="53"/>
  <c r="P245" i="53"/>
  <c r="U154" i="53"/>
  <c r="U236" i="53" s="1"/>
  <c r="U251" i="53" s="1"/>
  <c r="R113" i="47" s="1"/>
  <c r="V95" i="53"/>
  <c r="AG159" i="53"/>
  <c r="AH100" i="53"/>
  <c r="X162" i="53"/>
  <c r="Y70" i="53"/>
  <c r="AE186" i="53"/>
  <c r="AE208" i="53"/>
  <c r="AE174" i="53"/>
  <c r="AE197" i="53"/>
  <c r="AF81" i="53"/>
  <c r="AL109" i="47"/>
  <c r="X167" i="53"/>
  <c r="Y75" i="53"/>
  <c r="V151" i="53"/>
  <c r="W92" i="53"/>
  <c r="W178" i="53"/>
  <c r="W212" i="53"/>
  <c r="W201" i="53"/>
  <c r="W190" i="53"/>
  <c r="X85" i="53"/>
  <c r="V224" i="53"/>
  <c r="V262" i="53" s="1"/>
  <c r="S124" i="47" s="1"/>
  <c r="V186" i="53"/>
  <c r="V174" i="53"/>
  <c r="V208" i="53"/>
  <c r="V197" i="53"/>
  <c r="W81" i="53"/>
  <c r="U220" i="53"/>
  <c r="AD223" i="53"/>
  <c r="AD261" i="53" s="1"/>
  <c r="AA122" i="47" s="1"/>
  <c r="N258" i="53"/>
  <c r="K118" i="47" s="1"/>
  <c r="N245" i="53"/>
  <c r="Q221" i="53"/>
  <c r="V234" i="53"/>
  <c r="V249" i="53" s="1"/>
  <c r="S111" i="47" s="1"/>
  <c r="V223" i="53"/>
  <c r="V261" i="53" s="1"/>
  <c r="S122" i="47" s="1"/>
  <c r="AG158" i="53"/>
  <c r="AG240" i="53" s="1"/>
  <c r="AG255" i="53" s="1"/>
  <c r="AD116" i="47" s="1"/>
  <c r="AH99" i="53"/>
  <c r="Z166" i="53"/>
  <c r="AA74" i="53"/>
  <c r="AA166" i="53" s="1"/>
  <c r="AF198" i="53"/>
  <c r="AF175" i="53"/>
  <c r="AF187" i="53"/>
  <c r="AF209" i="53"/>
  <c r="AG82" i="53"/>
  <c r="AE234" i="53"/>
  <c r="AE249" i="53" s="1"/>
  <c r="AB111" i="47" s="1"/>
  <c r="AF190" i="53"/>
  <c r="AF178" i="53"/>
  <c r="AF201" i="53"/>
  <c r="AF212" i="53"/>
  <c r="AG85" i="53"/>
  <c r="AE224" i="53"/>
  <c r="AE262" i="53" s="1"/>
  <c r="AB124" i="47" s="1"/>
  <c r="Q228" i="53"/>
  <c r="Q266" i="53" s="1"/>
  <c r="N123" i="47" s="1"/>
  <c r="X213" i="53"/>
  <c r="X179" i="53"/>
  <c r="X202" i="53"/>
  <c r="X191" i="53"/>
  <c r="Y86" i="53"/>
  <c r="X164" i="53"/>
  <c r="Y72" i="53"/>
  <c r="Y163" i="53"/>
  <c r="Z71" i="53"/>
  <c r="AI157" i="53"/>
  <c r="AI239" i="53" s="1"/>
  <c r="AI254" i="53" s="1"/>
  <c r="AF110" i="47" s="1"/>
  <c r="AJ98" i="53"/>
  <c r="AD151" i="53"/>
  <c r="AD233" i="53" s="1"/>
  <c r="AD248" i="53" s="1"/>
  <c r="AA109" i="47" s="1"/>
  <c r="AE92" i="53"/>
  <c r="AG165" i="53"/>
  <c r="AH73" i="53"/>
  <c r="W199" i="53"/>
  <c r="W176" i="53"/>
  <c r="W210" i="53"/>
  <c r="W188" i="53"/>
  <c r="X83" i="53"/>
  <c r="V222" i="53"/>
  <c r="V260" i="53" s="1"/>
  <c r="S121" i="47" s="1"/>
  <c r="W198" i="53"/>
  <c r="W209" i="53"/>
  <c r="W175" i="53"/>
  <c r="W187" i="53"/>
  <c r="X82" i="53"/>
  <c r="V221" i="53"/>
  <c r="V259" i="53" s="1"/>
  <c r="S120" i="47" s="1"/>
  <c r="AC245" i="53"/>
  <c r="AF199" i="53"/>
  <c r="AF210" i="53"/>
  <c r="AF188" i="53"/>
  <c r="AF176" i="53"/>
  <c r="AG83" i="53"/>
  <c r="AL111" i="47"/>
  <c r="AP249" i="53"/>
  <c r="AM111" i="47" s="1"/>
  <c r="AG179" i="53"/>
  <c r="AG191" i="53"/>
  <c r="AG213" i="53"/>
  <c r="AG202" i="53"/>
  <c r="AH86" i="53"/>
  <c r="AF225" i="53"/>
  <c r="AF263" i="53" s="1"/>
  <c r="AC126" i="47" s="1"/>
  <c r="W182" i="53"/>
  <c r="W216" i="53"/>
  <c r="W194" i="53"/>
  <c r="W205" i="53"/>
  <c r="X89" i="53"/>
  <c r="V228" i="53"/>
  <c r="V266" i="53" s="1"/>
  <c r="S123" i="47" s="1"/>
  <c r="AD220" i="53"/>
  <c r="AP256" i="53"/>
  <c r="AM114" i="47" s="1"/>
  <c r="AL114" i="47"/>
  <c r="AP251" i="53"/>
  <c r="AM113" i="47" s="1"/>
  <c r="AL113" i="47"/>
  <c r="U233" i="53"/>
  <c r="U248" i="53" s="1"/>
  <c r="R109" i="47" s="1"/>
  <c r="AF235" i="53" l="1"/>
  <c r="AF250" i="53" s="1"/>
  <c r="AC112" i="47" s="1"/>
  <c r="AF154" i="53"/>
  <c r="AG95" i="53"/>
  <c r="AG156" i="53"/>
  <c r="AH97" i="53"/>
  <c r="AG238" i="53"/>
  <c r="AG253" i="53" s="1"/>
  <c r="AD117" i="47" s="1"/>
  <c r="W228" i="53"/>
  <c r="W266" i="53" s="1"/>
  <c r="T123" i="47" s="1"/>
  <c r="X225" i="53"/>
  <c r="X263" i="53" s="1"/>
  <c r="U126" i="47" s="1"/>
  <c r="AF221" i="53"/>
  <c r="AF259" i="53" s="1"/>
  <c r="AC120" i="47" s="1"/>
  <c r="V233" i="53"/>
  <c r="V248" i="53" s="1"/>
  <c r="S109" i="47" s="1"/>
  <c r="AE220" i="53"/>
  <c r="W223" i="53"/>
  <c r="W261" i="53" s="1"/>
  <c r="T122" i="47" s="1"/>
  <c r="AH167" i="53"/>
  <c r="AI75" i="53"/>
  <c r="AD245" i="53"/>
  <c r="AD258" i="53"/>
  <c r="AA118" i="47" s="1"/>
  <c r="X182" i="53"/>
  <c r="X205" i="53"/>
  <c r="X194" i="53"/>
  <c r="X216" i="53"/>
  <c r="Y89" i="53"/>
  <c r="AH191" i="53"/>
  <c r="AH202" i="53"/>
  <c r="AH213" i="53"/>
  <c r="AH179" i="53"/>
  <c r="AI86" i="53"/>
  <c r="X198" i="53"/>
  <c r="X175" i="53"/>
  <c r="X209" i="53"/>
  <c r="X187" i="53"/>
  <c r="Y82" i="53"/>
  <c r="X176" i="53"/>
  <c r="X210" i="53"/>
  <c r="X188" i="53"/>
  <c r="X199" i="53"/>
  <c r="Y83" i="53"/>
  <c r="AG190" i="53"/>
  <c r="AG178" i="53"/>
  <c r="AG212" i="53"/>
  <c r="AG201" i="53"/>
  <c r="AH85" i="53"/>
  <c r="AF224" i="53"/>
  <c r="AF262" i="53" s="1"/>
  <c r="AC124" i="47" s="1"/>
  <c r="AG187" i="53"/>
  <c r="AG209" i="53"/>
  <c r="AG198" i="53"/>
  <c r="AG175" i="53"/>
  <c r="AH82" i="53"/>
  <c r="W197" i="53"/>
  <c r="W186" i="53"/>
  <c r="W174" i="53"/>
  <c r="W208" i="53"/>
  <c r="X81" i="53"/>
  <c r="V220" i="53"/>
  <c r="X190" i="53"/>
  <c r="X212" i="53"/>
  <c r="X178" i="53"/>
  <c r="X201" i="53"/>
  <c r="Y85" i="53"/>
  <c r="AE258" i="53"/>
  <c r="AB118" i="47" s="1"/>
  <c r="Y162" i="53"/>
  <c r="Z70" i="53"/>
  <c r="AH159" i="53"/>
  <c r="AI100" i="53"/>
  <c r="V154" i="53"/>
  <c r="V236" i="53" s="1"/>
  <c r="V251" i="53" s="1"/>
  <c r="S113" i="47" s="1"/>
  <c r="W95" i="53"/>
  <c r="AP261" i="53"/>
  <c r="AM122" i="47" s="1"/>
  <c r="AL122" i="47"/>
  <c r="X177" i="53"/>
  <c r="X211" i="53"/>
  <c r="X189" i="53"/>
  <c r="X200" i="53"/>
  <c r="Y84" i="53"/>
  <c r="W234" i="53"/>
  <c r="W249" i="53" s="1"/>
  <c r="T111" i="47" s="1"/>
  <c r="AF155" i="53"/>
  <c r="AG96" i="53"/>
  <c r="AG153" i="53"/>
  <c r="AH94" i="53"/>
  <c r="Z170" i="53"/>
  <c r="AA78" i="53"/>
  <c r="AA170" i="53" s="1"/>
  <c r="X159" i="53"/>
  <c r="Y100" i="53"/>
  <c r="AG225" i="53"/>
  <c r="AG263" i="53" s="1"/>
  <c r="AD126" i="47" s="1"/>
  <c r="AG176" i="53"/>
  <c r="AG188" i="53"/>
  <c r="AG210" i="53"/>
  <c r="AG199" i="53"/>
  <c r="AH83" i="53"/>
  <c r="AF222" i="53"/>
  <c r="AF260" i="53" s="1"/>
  <c r="AC121" i="47" s="1"/>
  <c r="W221" i="53"/>
  <c r="W259" i="53" s="1"/>
  <c r="T120" i="47" s="1"/>
  <c r="W222" i="53"/>
  <c r="W260" i="53" s="1"/>
  <c r="T121" i="47" s="1"/>
  <c r="AH165" i="53"/>
  <c r="AI73" i="53"/>
  <c r="AE151" i="53"/>
  <c r="AE233" i="53" s="1"/>
  <c r="AE248" i="53" s="1"/>
  <c r="AB109" i="47" s="1"/>
  <c r="AF92" i="53"/>
  <c r="AJ157" i="53"/>
  <c r="AJ239" i="53" s="1"/>
  <c r="AJ254" i="53" s="1"/>
  <c r="AG110" i="47" s="1"/>
  <c r="AK98" i="53"/>
  <c r="Z163" i="53"/>
  <c r="AA71" i="53"/>
  <c r="AA163" i="53" s="1"/>
  <c r="Y164" i="53"/>
  <c r="Z72" i="53"/>
  <c r="Y179" i="53"/>
  <c r="Y213" i="53"/>
  <c r="Y191" i="53"/>
  <c r="Y202" i="53"/>
  <c r="Z86" i="53"/>
  <c r="AF237" i="53"/>
  <c r="AF252" i="53" s="1"/>
  <c r="AC115" i="47" s="1"/>
  <c r="AF234" i="53"/>
  <c r="AF249" i="53" s="1"/>
  <c r="AC111" i="47" s="1"/>
  <c r="AH158" i="53"/>
  <c r="AH240" i="53" s="1"/>
  <c r="AH255" i="53" s="1"/>
  <c r="AE116" i="47" s="1"/>
  <c r="AI99" i="53"/>
  <c r="Q259" i="53"/>
  <c r="N120" i="47" s="1"/>
  <c r="Q245" i="53"/>
  <c r="U258" i="53"/>
  <c r="R118" i="47" s="1"/>
  <c r="U245" i="53"/>
  <c r="W224" i="53"/>
  <c r="W262" i="53" s="1"/>
  <c r="T124" i="47" s="1"/>
  <c r="W151" i="53"/>
  <c r="X92" i="53"/>
  <c r="Y167" i="53"/>
  <c r="Z75" i="53"/>
  <c r="AF186" i="53"/>
  <c r="AF174" i="53"/>
  <c r="AF197" i="53"/>
  <c r="AF208" i="53"/>
  <c r="AG81" i="53"/>
  <c r="W156" i="53"/>
  <c r="W238" i="53" s="1"/>
  <c r="W253" i="53" s="1"/>
  <c r="T117" i="47" s="1"/>
  <c r="X97" i="53"/>
  <c r="AJ164" i="53"/>
  <c r="AK72" i="53"/>
  <c r="AH166" i="53"/>
  <c r="AI74" i="53"/>
  <c r="AG162" i="53"/>
  <c r="AH70" i="53"/>
  <c r="AH170" i="53"/>
  <c r="AI78" i="53"/>
  <c r="Y158" i="53"/>
  <c r="Y240" i="53" s="1"/>
  <c r="Y255" i="53" s="1"/>
  <c r="V116" i="47" s="1"/>
  <c r="Z99" i="53"/>
  <c r="AI163" i="53"/>
  <c r="AJ71" i="53"/>
  <c r="Y165" i="53"/>
  <c r="Z73" i="53"/>
  <c r="AG216" i="53"/>
  <c r="AG205" i="53"/>
  <c r="AG194" i="53"/>
  <c r="AG182" i="53"/>
  <c r="AG241" i="53" s="1"/>
  <c r="AG256" i="53" s="1"/>
  <c r="AD114" i="47" s="1"/>
  <c r="AH89" i="53"/>
  <c r="AF228" i="53"/>
  <c r="AF266" i="53" s="1"/>
  <c r="AC123" i="47" s="1"/>
  <c r="AO258" i="53"/>
  <c r="AK118" i="47"/>
  <c r="X152" i="53"/>
  <c r="Y93" i="53"/>
  <c r="AG152" i="53"/>
  <c r="AH93" i="53"/>
  <c r="W155" i="53"/>
  <c r="W237" i="53" s="1"/>
  <c r="W252" i="53" s="1"/>
  <c r="T115" i="47" s="1"/>
  <c r="X96" i="53"/>
  <c r="W153" i="53"/>
  <c r="W235" i="53" s="1"/>
  <c r="W250" i="53" s="1"/>
  <c r="T112" i="47" s="1"/>
  <c r="X94" i="53"/>
  <c r="Z157" i="53"/>
  <c r="Z239" i="53" s="1"/>
  <c r="Z254" i="53" s="1"/>
  <c r="W110" i="47" s="1"/>
  <c r="AA98" i="53"/>
  <c r="AA157" i="53" s="1"/>
  <c r="AA239" i="53" s="1"/>
  <c r="AA254" i="53" s="1"/>
  <c r="X110" i="47" s="1"/>
  <c r="AF189" i="53"/>
  <c r="AF200" i="53"/>
  <c r="AF177" i="53"/>
  <c r="AF236" i="53" s="1"/>
  <c r="AF251" i="53" s="1"/>
  <c r="AC113" i="47" s="1"/>
  <c r="AF211" i="53"/>
  <c r="AG84" i="53"/>
  <c r="AE223" i="53"/>
  <c r="AE261" i="53" s="1"/>
  <c r="AB122" i="47" s="1"/>
  <c r="W241" i="53"/>
  <c r="W256" i="53" s="1"/>
  <c r="T114" i="47" s="1"/>
  <c r="X241" i="53" l="1"/>
  <c r="X256" i="53" s="1"/>
  <c r="U114" i="47" s="1"/>
  <c r="AG235" i="53"/>
  <c r="AG250" i="53" s="1"/>
  <c r="AD112" i="47" s="1"/>
  <c r="AH95" i="53"/>
  <c r="AG154" i="53"/>
  <c r="Y225" i="53"/>
  <c r="Y263" i="53" s="1"/>
  <c r="V126" i="47" s="1"/>
  <c r="AH156" i="53"/>
  <c r="AH238" i="53" s="1"/>
  <c r="AH253" i="53" s="1"/>
  <c r="AE117" i="47" s="1"/>
  <c r="AI97" i="53"/>
  <c r="X224" i="53"/>
  <c r="X262" i="53" s="1"/>
  <c r="U124" i="47" s="1"/>
  <c r="AG234" i="53"/>
  <c r="AG249" i="53" s="1"/>
  <c r="AD111" i="47" s="1"/>
  <c r="X222" i="53"/>
  <c r="X260" i="53" s="1"/>
  <c r="U121" i="47" s="1"/>
  <c r="X221" i="53"/>
  <c r="X259" i="53" s="1"/>
  <c r="U120" i="47" s="1"/>
  <c r="AI167" i="53"/>
  <c r="AJ75" i="53"/>
  <c r="X153" i="53"/>
  <c r="X235" i="53" s="1"/>
  <c r="X250" i="53" s="1"/>
  <c r="U112" i="47" s="1"/>
  <c r="Y94" i="53"/>
  <c r="X155" i="53"/>
  <c r="Y96" i="53"/>
  <c r="AH152" i="53"/>
  <c r="AI93" i="53"/>
  <c r="Y152" i="53"/>
  <c r="Z93" i="53"/>
  <c r="Z165" i="53"/>
  <c r="AA73" i="53"/>
  <c r="AA165" i="53" s="1"/>
  <c r="AJ163" i="53"/>
  <c r="AK71" i="53"/>
  <c r="Z158" i="53"/>
  <c r="Z240" i="53" s="1"/>
  <c r="Z255" i="53" s="1"/>
  <c r="W116" i="47" s="1"/>
  <c r="AA99" i="53"/>
  <c r="AA158" i="53" s="1"/>
  <c r="AA240" i="53" s="1"/>
  <c r="AA255" i="53" s="1"/>
  <c r="X116" i="47" s="1"/>
  <c r="AI170" i="53"/>
  <c r="AJ78" i="53"/>
  <c r="AH162" i="53"/>
  <c r="AI70" i="53"/>
  <c r="AI166" i="53"/>
  <c r="AJ74" i="53"/>
  <c r="AK164" i="53"/>
  <c r="AL72" i="53"/>
  <c r="X156" i="53"/>
  <c r="X238" i="53" s="1"/>
  <c r="X253" i="53" s="1"/>
  <c r="U117" i="47" s="1"/>
  <c r="Y97" i="53"/>
  <c r="Z167" i="53"/>
  <c r="AA75" i="53"/>
  <c r="AA167" i="53" s="1"/>
  <c r="X151" i="53"/>
  <c r="Y92" i="53"/>
  <c r="Z191" i="53"/>
  <c r="Z179" i="53"/>
  <c r="Z202" i="53"/>
  <c r="Z213" i="53"/>
  <c r="AA86" i="53"/>
  <c r="AH188" i="53"/>
  <c r="AH210" i="53"/>
  <c r="AH176" i="53"/>
  <c r="AH199" i="53"/>
  <c r="AI83" i="53"/>
  <c r="Y159" i="53"/>
  <c r="Z100" i="53"/>
  <c r="AH153" i="53"/>
  <c r="AI94" i="53"/>
  <c r="AG155" i="53"/>
  <c r="AH96" i="53"/>
  <c r="W154" i="53"/>
  <c r="W236" i="53" s="1"/>
  <c r="W251" i="53" s="1"/>
  <c r="T113" i="47" s="1"/>
  <c r="X95" i="53"/>
  <c r="AI159" i="53"/>
  <c r="AJ100" i="53"/>
  <c r="Z162" i="53"/>
  <c r="AA70" i="53"/>
  <c r="AA162" i="53" s="1"/>
  <c r="AE245" i="53"/>
  <c r="Y190" i="53"/>
  <c r="Y212" i="53"/>
  <c r="Y178" i="53"/>
  <c r="Y201" i="53"/>
  <c r="Z85" i="53"/>
  <c r="X237" i="53"/>
  <c r="X252" i="53" s="1"/>
  <c r="U115" i="47" s="1"/>
  <c r="X174" i="53"/>
  <c r="X197" i="53"/>
  <c r="X186" i="53"/>
  <c r="X208" i="53"/>
  <c r="Y81" i="53"/>
  <c r="AG237" i="53"/>
  <c r="AG252" i="53" s="1"/>
  <c r="AD115" i="47" s="1"/>
  <c r="Y188" i="53"/>
  <c r="Y176" i="53"/>
  <c r="Y199" i="53"/>
  <c r="Y210" i="53"/>
  <c r="Z83" i="53"/>
  <c r="AI213" i="53"/>
  <c r="AI179" i="53"/>
  <c r="AI202" i="53"/>
  <c r="AI191" i="53"/>
  <c r="AJ86" i="53"/>
  <c r="AH225" i="53"/>
  <c r="AH263" i="53" s="1"/>
  <c r="AE126" i="47" s="1"/>
  <c r="AG189" i="53"/>
  <c r="AG211" i="53"/>
  <c r="AG200" i="53"/>
  <c r="AG177" i="53"/>
  <c r="AH84" i="53"/>
  <c r="AF223" i="53"/>
  <c r="AF261" i="53" s="1"/>
  <c r="AC122" i="47" s="1"/>
  <c r="X234" i="53"/>
  <c r="X249" i="53" s="1"/>
  <c r="U111" i="47" s="1"/>
  <c r="AL118" i="47"/>
  <c r="AP258" i="53"/>
  <c r="AM118" i="47" s="1"/>
  <c r="AH182" i="53"/>
  <c r="AH241" i="53" s="1"/>
  <c r="AH256" i="53" s="1"/>
  <c r="AE114" i="47" s="1"/>
  <c r="AH205" i="53"/>
  <c r="AH194" i="53"/>
  <c r="AH216" i="53"/>
  <c r="AI89" i="53"/>
  <c r="AG228" i="53"/>
  <c r="AG266" i="53" s="1"/>
  <c r="AD123" i="47" s="1"/>
  <c r="AG208" i="53"/>
  <c r="AG186" i="53"/>
  <c r="AG197" i="53"/>
  <c r="AG174" i="53"/>
  <c r="AH81" i="53"/>
  <c r="AF220" i="53"/>
  <c r="W233" i="53"/>
  <c r="W248" i="53" s="1"/>
  <c r="T109" i="47" s="1"/>
  <c r="AI158" i="53"/>
  <c r="AI240" i="53" s="1"/>
  <c r="AI255" i="53" s="1"/>
  <c r="AF116" i="47" s="1"/>
  <c r="AJ99" i="53"/>
  <c r="Z164" i="53"/>
  <c r="AA72" i="53"/>
  <c r="AA164" i="53" s="1"/>
  <c r="AK157" i="53"/>
  <c r="AK239" i="53" s="1"/>
  <c r="AK254" i="53" s="1"/>
  <c r="AH110" i="47" s="1"/>
  <c r="AL98" i="53"/>
  <c r="AF151" i="53"/>
  <c r="AF233" i="53" s="1"/>
  <c r="AF248" i="53" s="1"/>
  <c r="AC109" i="47" s="1"/>
  <c r="AG92" i="53"/>
  <c r="AI165" i="53"/>
  <c r="AJ73" i="53"/>
  <c r="AG222" i="53"/>
  <c r="AG260" i="53" s="1"/>
  <c r="AD121" i="47" s="1"/>
  <c r="Y200" i="53"/>
  <c r="Y177" i="53"/>
  <c r="Y211" i="53"/>
  <c r="Y189" i="53"/>
  <c r="Z84" i="53"/>
  <c r="X223" i="53"/>
  <c r="X261" i="53" s="1"/>
  <c r="U122" i="47" s="1"/>
  <c r="V245" i="53"/>
  <c r="V258" i="53"/>
  <c r="S118" i="47" s="1"/>
  <c r="W220" i="53"/>
  <c r="AH187" i="53"/>
  <c r="AH198" i="53"/>
  <c r="AH209" i="53"/>
  <c r="AH175" i="53"/>
  <c r="AI82" i="53"/>
  <c r="AG221" i="53"/>
  <c r="AG259" i="53" s="1"/>
  <c r="AD120" i="47" s="1"/>
  <c r="AH178" i="53"/>
  <c r="AH190" i="53"/>
  <c r="AH201" i="53"/>
  <c r="AH212" i="53"/>
  <c r="AI85" i="53"/>
  <c r="AG224" i="53"/>
  <c r="AG262" i="53" s="1"/>
  <c r="AD124" i="47" s="1"/>
  <c r="Y187" i="53"/>
  <c r="Y209" i="53"/>
  <c r="Y175" i="53"/>
  <c r="Y198" i="53"/>
  <c r="Z82" i="53"/>
  <c r="Y182" i="53"/>
  <c r="Y216" i="53"/>
  <c r="Y194" i="53"/>
  <c r="Y205" i="53"/>
  <c r="Z89" i="53"/>
  <c r="X228" i="53"/>
  <c r="X266" i="53" s="1"/>
  <c r="U123" i="47" s="1"/>
  <c r="AH234" i="53" l="1"/>
  <c r="AH249" i="53" s="1"/>
  <c r="AE111" i="47" s="1"/>
  <c r="AH228" i="53"/>
  <c r="AH266" i="53" s="1"/>
  <c r="AE123" i="47" s="1"/>
  <c r="AG236" i="53"/>
  <c r="AG251" i="53" s="1"/>
  <c r="AD113" i="47" s="1"/>
  <c r="AI225" i="53"/>
  <c r="AI263" i="53" s="1"/>
  <c r="AF126" i="47" s="1"/>
  <c r="X220" i="53"/>
  <c r="Y224" i="53"/>
  <c r="Y262" i="53" s="1"/>
  <c r="V124" i="47" s="1"/>
  <c r="AH154" i="53"/>
  <c r="AI95" i="53"/>
  <c r="AJ97" i="53"/>
  <c r="AI156" i="53"/>
  <c r="AI238" i="53" s="1"/>
  <c r="AI253" i="53" s="1"/>
  <c r="AF117" i="47" s="1"/>
  <c r="AK75" i="53"/>
  <c r="AJ167" i="53"/>
  <c r="Y221" i="53"/>
  <c r="Y259" i="53" s="1"/>
  <c r="V120" i="47" s="1"/>
  <c r="AH221" i="53"/>
  <c r="AH259" i="53" s="1"/>
  <c r="AE120" i="47" s="1"/>
  <c r="Y223" i="53"/>
  <c r="Y261" i="53" s="1"/>
  <c r="V122" i="47" s="1"/>
  <c r="Y241" i="53"/>
  <c r="Y256" i="53" s="1"/>
  <c r="V114" i="47" s="1"/>
  <c r="AI212" i="53"/>
  <c r="AI201" i="53"/>
  <c r="AI178" i="53"/>
  <c r="AI190" i="53"/>
  <c r="AJ85" i="53"/>
  <c r="AI175" i="53"/>
  <c r="AI187" i="53"/>
  <c r="AI209" i="53"/>
  <c r="AI198" i="53"/>
  <c r="AJ82" i="53"/>
  <c r="Z187" i="53"/>
  <c r="Z175" i="53"/>
  <c r="Z209" i="53"/>
  <c r="Z198" i="53"/>
  <c r="AA82" i="53"/>
  <c r="AJ158" i="53"/>
  <c r="AJ240" i="53" s="1"/>
  <c r="AJ255" i="53" s="1"/>
  <c r="AG116" i="47" s="1"/>
  <c r="AK99" i="53"/>
  <c r="AH174" i="53"/>
  <c r="AH197" i="53"/>
  <c r="AH186" i="53"/>
  <c r="AH208" i="53"/>
  <c r="AI81" i="53"/>
  <c r="AI216" i="53"/>
  <c r="AI182" i="53"/>
  <c r="AI241" i="53" s="1"/>
  <c r="AI256" i="53" s="1"/>
  <c r="AF114" i="47" s="1"/>
  <c r="AI205" i="53"/>
  <c r="AI194" i="53"/>
  <c r="AJ89" i="53"/>
  <c r="Z176" i="53"/>
  <c r="Z210" i="53"/>
  <c r="Z188" i="53"/>
  <c r="Z199" i="53"/>
  <c r="AA83" i="53"/>
  <c r="Y222" i="53"/>
  <c r="Y260" i="53" s="1"/>
  <c r="V121" i="47" s="1"/>
  <c r="Y197" i="53"/>
  <c r="Y174" i="53"/>
  <c r="Y208" i="53"/>
  <c r="Y186" i="53"/>
  <c r="Z81" i="53"/>
  <c r="X258" i="53"/>
  <c r="U118" i="47" s="1"/>
  <c r="Z190" i="53"/>
  <c r="Z178" i="53"/>
  <c r="Z212" i="53"/>
  <c r="Z201" i="53"/>
  <c r="AA85" i="53"/>
  <c r="AJ159" i="53"/>
  <c r="AK100" i="53"/>
  <c r="X154" i="53"/>
  <c r="X236" i="53" s="1"/>
  <c r="X251" i="53" s="1"/>
  <c r="U113" i="47" s="1"/>
  <c r="Y95" i="53"/>
  <c r="AH155" i="53"/>
  <c r="AH237" i="53" s="1"/>
  <c r="AH252" i="53" s="1"/>
  <c r="AE115" i="47" s="1"/>
  <c r="AI96" i="53"/>
  <c r="AI153" i="53"/>
  <c r="AJ94" i="53"/>
  <c r="AA202" i="53"/>
  <c r="AA191" i="53"/>
  <c r="AA179" i="53"/>
  <c r="AA213" i="53"/>
  <c r="Z225" i="53"/>
  <c r="Z263" i="53" s="1"/>
  <c r="W126" i="47" s="1"/>
  <c r="X233" i="53"/>
  <c r="X248" i="53" s="1"/>
  <c r="U109" i="47" s="1"/>
  <c r="Y156" i="53"/>
  <c r="Y238" i="53" s="1"/>
  <c r="Y253" i="53" s="1"/>
  <c r="V117" i="47" s="1"/>
  <c r="Z97" i="53"/>
  <c r="AL164" i="53"/>
  <c r="AM72" i="53"/>
  <c r="AJ166" i="53"/>
  <c r="AK74" i="53"/>
  <c r="AI162" i="53"/>
  <c r="AJ70" i="53"/>
  <c r="AJ170" i="53"/>
  <c r="AK78" i="53"/>
  <c r="AK163" i="53"/>
  <c r="AL71" i="53"/>
  <c r="Z152" i="53"/>
  <c r="AA93" i="53"/>
  <c r="AA152" i="53" s="1"/>
  <c r="AI152" i="53"/>
  <c r="AJ93" i="53"/>
  <c r="Y155" i="53"/>
  <c r="Y237" i="53" s="1"/>
  <c r="Y252" i="53" s="1"/>
  <c r="V115" i="47" s="1"/>
  <c r="Z96" i="53"/>
  <c r="Y153" i="53"/>
  <c r="Y235" i="53" s="1"/>
  <c r="Y250" i="53" s="1"/>
  <c r="V112" i="47" s="1"/>
  <c r="Z94" i="53"/>
  <c r="Z205" i="53"/>
  <c r="Z182" i="53"/>
  <c r="Z216" i="53"/>
  <c r="Z194" i="53"/>
  <c r="AA89" i="53"/>
  <c r="Y228" i="53"/>
  <c r="Y266" i="53" s="1"/>
  <c r="V123" i="47" s="1"/>
  <c r="AH224" i="53"/>
  <c r="AH262" i="53" s="1"/>
  <c r="AE124" i="47" s="1"/>
  <c r="W258" i="53"/>
  <c r="T118" i="47" s="1"/>
  <c r="W245" i="53"/>
  <c r="Z200" i="53"/>
  <c r="Z211" i="53"/>
  <c r="Z177" i="53"/>
  <c r="Z189" i="53"/>
  <c r="AA84" i="53"/>
  <c r="AJ165" i="53"/>
  <c r="AK73" i="53"/>
  <c r="AG151" i="53"/>
  <c r="AH92" i="53"/>
  <c r="AL157" i="53"/>
  <c r="AL239" i="53" s="1"/>
  <c r="AL254" i="53" s="1"/>
  <c r="AI110" i="47" s="1"/>
  <c r="AM98" i="53"/>
  <c r="AF245" i="53"/>
  <c r="AF258" i="53"/>
  <c r="AC118" i="47" s="1"/>
  <c r="AG233" i="53"/>
  <c r="AG248" i="53" s="1"/>
  <c r="AD109" i="47" s="1"/>
  <c r="AG220" i="53"/>
  <c r="AH177" i="53"/>
  <c r="AH236" i="53" s="1"/>
  <c r="AH251" i="53" s="1"/>
  <c r="AE113" i="47" s="1"/>
  <c r="AH189" i="53"/>
  <c r="AH200" i="53"/>
  <c r="AH211" i="53"/>
  <c r="AI84" i="53"/>
  <c r="AG223" i="53"/>
  <c r="AG261" i="53" s="1"/>
  <c r="AD122" i="47" s="1"/>
  <c r="AJ202" i="53"/>
  <c r="AJ191" i="53"/>
  <c r="AJ179" i="53"/>
  <c r="AJ213" i="53"/>
  <c r="AK86" i="53"/>
  <c r="Z159" i="53"/>
  <c r="Z241" i="53" s="1"/>
  <c r="Z256" i="53" s="1"/>
  <c r="W114" i="47" s="1"/>
  <c r="AA100" i="53"/>
  <c r="AA159" i="53" s="1"/>
  <c r="AI210" i="53"/>
  <c r="AI176" i="53"/>
  <c r="AI235" i="53" s="1"/>
  <c r="AI250" i="53" s="1"/>
  <c r="AF112" i="47" s="1"/>
  <c r="AI199" i="53"/>
  <c r="AI188" i="53"/>
  <c r="AJ83" i="53"/>
  <c r="AH235" i="53"/>
  <c r="AH250" i="53" s="1"/>
  <c r="AE112" i="47" s="1"/>
  <c r="AH222" i="53"/>
  <c r="AH260" i="53" s="1"/>
  <c r="AE121" i="47" s="1"/>
  <c r="Y151" i="53"/>
  <c r="Y233" i="53" s="1"/>
  <c r="Y248" i="53" s="1"/>
  <c r="V109" i="47" s="1"/>
  <c r="Z92" i="53"/>
  <c r="Y234" i="53"/>
  <c r="Y249" i="53" s="1"/>
  <c r="V111" i="47" s="1"/>
  <c r="Z234" i="53" l="1"/>
  <c r="Z249" i="53" s="1"/>
  <c r="W111" i="47" s="1"/>
  <c r="AJ95" i="53"/>
  <c r="AI154" i="53"/>
  <c r="AJ156" i="53"/>
  <c r="AJ238" i="53" s="1"/>
  <c r="AJ253" i="53" s="1"/>
  <c r="AG117" i="47" s="1"/>
  <c r="AK97" i="53"/>
  <c r="AI222" i="53"/>
  <c r="AI260" i="53" s="1"/>
  <c r="AF121" i="47" s="1"/>
  <c r="Z223" i="53"/>
  <c r="Z261" i="53" s="1"/>
  <c r="W122" i="47" s="1"/>
  <c r="Z222" i="53"/>
  <c r="Z260" i="53" s="1"/>
  <c r="W121" i="47" s="1"/>
  <c r="AI228" i="53"/>
  <c r="AI266" i="53" s="1"/>
  <c r="AF123" i="47" s="1"/>
  <c r="AH220" i="53"/>
  <c r="AI224" i="53"/>
  <c r="AI262" i="53" s="1"/>
  <c r="AF124" i="47" s="1"/>
  <c r="AK167" i="53"/>
  <c r="AL75" i="53"/>
  <c r="AK213" i="53"/>
  <c r="AK179" i="53"/>
  <c r="AK191" i="53"/>
  <c r="AK202" i="53"/>
  <c r="AL86" i="53"/>
  <c r="AI189" i="53"/>
  <c r="AI211" i="53"/>
  <c r="AI177" i="53"/>
  <c r="AI236" i="53" s="1"/>
  <c r="AI251" i="53" s="1"/>
  <c r="AF113" i="47" s="1"/>
  <c r="AI200" i="53"/>
  <c r="AJ84" i="53"/>
  <c r="AA205" i="53"/>
  <c r="AA216" i="53"/>
  <c r="AA182" i="53"/>
  <c r="AA241" i="53" s="1"/>
  <c r="AA256" i="53" s="1"/>
  <c r="X114" i="47" s="1"/>
  <c r="AA194" i="53"/>
  <c r="AL163" i="53"/>
  <c r="AM71" i="53"/>
  <c r="AK170" i="53"/>
  <c r="AL78" i="53"/>
  <c r="AJ162" i="53"/>
  <c r="AK70" i="53"/>
  <c r="AK166" i="53"/>
  <c r="AL74" i="53"/>
  <c r="AM164" i="53"/>
  <c r="AN72" i="53"/>
  <c r="Z156" i="53"/>
  <c r="Z238" i="53" s="1"/>
  <c r="Z253" i="53" s="1"/>
  <c r="W117" i="47" s="1"/>
  <c r="AA97" i="53"/>
  <c r="AA156" i="53" s="1"/>
  <c r="AA238" i="53" s="1"/>
  <c r="AA253" i="53" s="1"/>
  <c r="X117" i="47" s="1"/>
  <c r="AA225" i="53"/>
  <c r="AA263" i="53" s="1"/>
  <c r="X126" i="47" s="1"/>
  <c r="AJ153" i="53"/>
  <c r="AK94" i="53"/>
  <c r="AI155" i="53"/>
  <c r="AJ96" i="53"/>
  <c r="Y154" i="53"/>
  <c r="Y236" i="53" s="1"/>
  <c r="Y251" i="53" s="1"/>
  <c r="V113" i="47" s="1"/>
  <c r="Z95" i="53"/>
  <c r="AK159" i="53"/>
  <c r="AL100" i="53"/>
  <c r="X245" i="53"/>
  <c r="Z197" i="53"/>
  <c r="Z208" i="53"/>
  <c r="Z186" i="53"/>
  <c r="Z174" i="53"/>
  <c r="AA81" i="53"/>
  <c r="AA199" i="53"/>
  <c r="AA210" i="53"/>
  <c r="AA176" i="53"/>
  <c r="AA188" i="53"/>
  <c r="AI208" i="53"/>
  <c r="AI174" i="53"/>
  <c r="AI197" i="53"/>
  <c r="AI186" i="53"/>
  <c r="AJ81" i="53"/>
  <c r="AH258" i="53"/>
  <c r="AE118" i="47" s="1"/>
  <c r="AA198" i="53"/>
  <c r="AA209" i="53"/>
  <c r="AA175" i="53"/>
  <c r="AA234" i="53" s="1"/>
  <c r="AA249" i="53" s="1"/>
  <c r="X111" i="47" s="1"/>
  <c r="AA187" i="53"/>
  <c r="Z221" i="53"/>
  <c r="Z259" i="53" s="1"/>
  <c r="W120" i="47" s="1"/>
  <c r="AI221" i="53"/>
  <c r="AI259" i="53" s="1"/>
  <c r="AF120" i="47" s="1"/>
  <c r="Z151" i="53"/>
  <c r="Z233" i="53" s="1"/>
  <c r="Z248" i="53" s="1"/>
  <c r="W109" i="47" s="1"/>
  <c r="AA92" i="53"/>
  <c r="AA151" i="53" s="1"/>
  <c r="AJ176" i="53"/>
  <c r="AJ235" i="53" s="1"/>
  <c r="AJ250" i="53" s="1"/>
  <c r="AG112" i="47" s="1"/>
  <c r="AJ199" i="53"/>
  <c r="AJ188" i="53"/>
  <c r="AJ210" i="53"/>
  <c r="AK83" i="53"/>
  <c r="AJ225" i="53"/>
  <c r="AJ263" i="53" s="1"/>
  <c r="AG126" i="47" s="1"/>
  <c r="AH223" i="53"/>
  <c r="AH261" i="53" s="1"/>
  <c r="AE122" i="47" s="1"/>
  <c r="AG258" i="53"/>
  <c r="AD118" i="47" s="1"/>
  <c r="AG245" i="53"/>
  <c r="AM157" i="53"/>
  <c r="AM239" i="53" s="1"/>
  <c r="AN98" i="53"/>
  <c r="AH151" i="53"/>
  <c r="AH233" i="53" s="1"/>
  <c r="AH248" i="53" s="1"/>
  <c r="AE109" i="47" s="1"/>
  <c r="AI92" i="53"/>
  <c r="AK165" i="53"/>
  <c r="AL73" i="53"/>
  <c r="AA177" i="53"/>
  <c r="AA200" i="53"/>
  <c r="AA211" i="53"/>
  <c r="AA189" i="53"/>
  <c r="Z228" i="53"/>
  <c r="Z266" i="53" s="1"/>
  <c r="W123" i="47" s="1"/>
  <c r="Z153" i="53"/>
  <c r="Z235" i="53" s="1"/>
  <c r="Z250" i="53" s="1"/>
  <c r="W112" i="47" s="1"/>
  <c r="AA94" i="53"/>
  <c r="AA153" i="53" s="1"/>
  <c r="Z155" i="53"/>
  <c r="Z237" i="53" s="1"/>
  <c r="Z252" i="53" s="1"/>
  <c r="W115" i="47" s="1"/>
  <c r="AA96" i="53"/>
  <c r="AA155" i="53" s="1"/>
  <c r="AJ152" i="53"/>
  <c r="AK93" i="53"/>
  <c r="AA201" i="53"/>
  <c r="AA212" i="53"/>
  <c r="AA178" i="53"/>
  <c r="AA190" i="53"/>
  <c r="Z224" i="53"/>
  <c r="Z262" i="53" s="1"/>
  <c r="W124" i="47" s="1"/>
  <c r="Y220" i="53"/>
  <c r="AJ205" i="53"/>
  <c r="AJ194" i="53"/>
  <c r="AJ182" i="53"/>
  <c r="AJ241" i="53" s="1"/>
  <c r="AJ256" i="53" s="1"/>
  <c r="AG114" i="47" s="1"/>
  <c r="AJ216" i="53"/>
  <c r="AK89" i="53"/>
  <c r="AK158" i="53"/>
  <c r="AK240" i="53" s="1"/>
  <c r="AK255" i="53" s="1"/>
  <c r="AH116" i="47" s="1"/>
  <c r="AL99" i="53"/>
  <c r="AJ198" i="53"/>
  <c r="AJ187" i="53"/>
  <c r="AJ175" i="53"/>
  <c r="AJ209" i="53"/>
  <c r="AK82" i="53"/>
  <c r="AI234" i="53"/>
  <c r="AI249" i="53" s="1"/>
  <c r="AF111" i="47" s="1"/>
  <c r="AJ201" i="53"/>
  <c r="AJ190" i="53"/>
  <c r="AJ178" i="53"/>
  <c r="AJ212" i="53"/>
  <c r="AK85" i="53"/>
  <c r="AI237" i="53"/>
  <c r="AI252" i="53" s="1"/>
  <c r="AF115" i="47" s="1"/>
  <c r="AA237" i="53" l="1"/>
  <c r="AA252" i="53" s="1"/>
  <c r="X115" i="47" s="1"/>
  <c r="AJ222" i="53"/>
  <c r="AJ260" i="53" s="1"/>
  <c r="AG121" i="47" s="1"/>
  <c r="AA228" i="53"/>
  <c r="AA266" i="53" s="1"/>
  <c r="X123" i="47" s="1"/>
  <c r="AK95" i="53"/>
  <c r="AJ154" i="53"/>
  <c r="AA223" i="53"/>
  <c r="AA261" i="53" s="1"/>
  <c r="X122" i="47" s="1"/>
  <c r="AL97" i="53"/>
  <c r="AK156" i="53"/>
  <c r="AK238" i="53" s="1"/>
  <c r="AK253" i="53" s="1"/>
  <c r="AH117" i="47" s="1"/>
  <c r="AL167" i="53"/>
  <c r="AM75" i="53"/>
  <c r="AJ224" i="53"/>
  <c r="AJ262" i="53" s="1"/>
  <c r="AG124" i="47" s="1"/>
  <c r="AJ221" i="53"/>
  <c r="AJ259" i="53" s="1"/>
  <c r="AG120" i="47" s="1"/>
  <c r="AL158" i="53"/>
  <c r="AL240" i="53" s="1"/>
  <c r="AL255" i="53" s="1"/>
  <c r="AI116" i="47" s="1"/>
  <c r="AM99" i="53"/>
  <c r="AK182" i="53"/>
  <c r="AK241" i="53" s="1"/>
  <c r="AK256" i="53" s="1"/>
  <c r="AH114" i="47" s="1"/>
  <c r="AK194" i="53"/>
  <c r="AK205" i="53"/>
  <c r="AK216" i="53"/>
  <c r="AL89" i="53"/>
  <c r="AL165" i="53"/>
  <c r="AM73" i="53"/>
  <c r="AI151" i="53"/>
  <c r="AI233" i="53" s="1"/>
  <c r="AI248" i="53" s="1"/>
  <c r="AF109" i="47" s="1"/>
  <c r="AJ92" i="53"/>
  <c r="AN157" i="53"/>
  <c r="AN239" i="53" s="1"/>
  <c r="AO98" i="53"/>
  <c r="AK176" i="53"/>
  <c r="AK188" i="53"/>
  <c r="AK199" i="53"/>
  <c r="AK210" i="53"/>
  <c r="AL83" i="53"/>
  <c r="AJ197" i="53"/>
  <c r="AJ186" i="53"/>
  <c r="AJ174" i="53"/>
  <c r="AJ208" i="53"/>
  <c r="AK81" i="53"/>
  <c r="AA235" i="53"/>
  <c r="AA250" i="53" s="1"/>
  <c r="X112" i="47" s="1"/>
  <c r="AN164" i="53"/>
  <c r="AO72" i="53"/>
  <c r="AL166" i="53"/>
  <c r="AM74" i="53"/>
  <c r="AK162" i="53"/>
  <c r="AL70" i="53"/>
  <c r="AL170" i="53"/>
  <c r="AM78" i="53"/>
  <c r="AM163" i="53"/>
  <c r="AN71" i="53"/>
  <c r="AJ211" i="53"/>
  <c r="AJ200" i="53"/>
  <c r="AJ189" i="53"/>
  <c r="AJ177" i="53"/>
  <c r="AK84" i="53"/>
  <c r="AI223" i="53"/>
  <c r="AI261" i="53" s="1"/>
  <c r="AF122" i="47" s="1"/>
  <c r="AK178" i="53"/>
  <c r="AK212" i="53"/>
  <c r="AK201" i="53"/>
  <c r="AK190" i="53"/>
  <c r="AL85" i="53"/>
  <c r="AK198" i="53"/>
  <c r="AK175" i="53"/>
  <c r="AK209" i="53"/>
  <c r="AK187" i="53"/>
  <c r="AL82" i="53"/>
  <c r="AJ234" i="53"/>
  <c r="AJ249" i="53" s="1"/>
  <c r="AG111" i="47" s="1"/>
  <c r="AJ228" i="53"/>
  <c r="AJ266" i="53" s="1"/>
  <c r="AG123" i="47" s="1"/>
  <c r="Y258" i="53"/>
  <c r="V118" i="47" s="1"/>
  <c r="Y245" i="53"/>
  <c r="AA224" i="53"/>
  <c r="AA262" i="53" s="1"/>
  <c r="X124" i="47" s="1"/>
  <c r="AK152" i="53"/>
  <c r="AL93" i="53"/>
  <c r="AA221" i="53"/>
  <c r="AA259" i="53" s="1"/>
  <c r="X120" i="47" s="1"/>
  <c r="AH245" i="53"/>
  <c r="AI220" i="53"/>
  <c r="AA222" i="53"/>
  <c r="AA260" i="53" s="1"/>
  <c r="X121" i="47" s="1"/>
  <c r="AA174" i="53"/>
  <c r="AA233" i="53" s="1"/>
  <c r="AA248" i="53" s="1"/>
  <c r="X109" i="47" s="1"/>
  <c r="AA197" i="53"/>
  <c r="AA186" i="53"/>
  <c r="AA208" i="53"/>
  <c r="Z220" i="53"/>
  <c r="AL159" i="53"/>
  <c r="AM100" i="53"/>
  <c r="Z154" i="53"/>
  <c r="Z236" i="53" s="1"/>
  <c r="Z251" i="53" s="1"/>
  <c r="W113" i="47" s="1"/>
  <c r="AA95" i="53"/>
  <c r="AA154" i="53" s="1"/>
  <c r="AA236" i="53" s="1"/>
  <c r="AA251" i="53" s="1"/>
  <c r="X113" i="47" s="1"/>
  <c r="AJ155" i="53"/>
  <c r="AJ237" i="53" s="1"/>
  <c r="AJ252" i="53" s="1"/>
  <c r="AG115" i="47" s="1"/>
  <c r="AK96" i="53"/>
  <c r="AK153" i="53"/>
  <c r="AL94" i="53"/>
  <c r="AL202" i="53"/>
  <c r="AL213" i="53"/>
  <c r="AL191" i="53"/>
  <c r="AL179" i="53"/>
  <c r="AM86" i="53"/>
  <c r="AK225" i="53"/>
  <c r="AK263" i="53" s="1"/>
  <c r="AH126" i="47" s="1"/>
  <c r="AJ236" i="53" l="1"/>
  <c r="AJ251" i="53" s="1"/>
  <c r="AG113" i="47" s="1"/>
  <c r="AL95" i="53"/>
  <c r="AK154" i="53"/>
  <c r="AM97" i="53"/>
  <c r="AL156" i="53"/>
  <c r="AL238" i="53" s="1"/>
  <c r="AL253" i="53" s="1"/>
  <c r="AI117" i="47" s="1"/>
  <c r="AK221" i="53"/>
  <c r="AK259" i="53" s="1"/>
  <c r="AH120" i="47" s="1"/>
  <c r="AK234" i="53"/>
  <c r="AK249" i="53" s="1"/>
  <c r="AH111" i="47" s="1"/>
  <c r="AL225" i="53"/>
  <c r="AL263" i="53" s="1"/>
  <c r="AI126" i="47" s="1"/>
  <c r="AK224" i="53"/>
  <c r="AK262" i="53" s="1"/>
  <c r="AH124" i="47" s="1"/>
  <c r="AN75" i="53"/>
  <c r="AM167" i="53"/>
  <c r="AM179" i="53"/>
  <c r="AM202" i="53"/>
  <c r="AM191" i="53"/>
  <c r="AM213" i="53"/>
  <c r="AN86" i="53"/>
  <c r="AI258" i="53"/>
  <c r="AF118" i="47" s="1"/>
  <c r="AI245" i="53"/>
  <c r="AL152" i="53"/>
  <c r="AM93" i="53"/>
  <c r="AN163" i="53"/>
  <c r="AO71" i="53"/>
  <c r="AM170" i="53"/>
  <c r="AN78" i="53"/>
  <c r="AL162" i="53"/>
  <c r="AM70" i="53"/>
  <c r="AM166" i="53"/>
  <c r="AN74" i="53"/>
  <c r="AO164" i="53"/>
  <c r="AP72" i="53"/>
  <c r="AJ220" i="53"/>
  <c r="AL188" i="53"/>
  <c r="AL176" i="53"/>
  <c r="AL199" i="53"/>
  <c r="AL210" i="53"/>
  <c r="AM83" i="53"/>
  <c r="AK235" i="53"/>
  <c r="AK250" i="53" s="1"/>
  <c r="AH112" i="47" s="1"/>
  <c r="AK228" i="53"/>
  <c r="AK266" i="53" s="1"/>
  <c r="AH123" i="47" s="1"/>
  <c r="AM158" i="53"/>
  <c r="AM240" i="53" s="1"/>
  <c r="AN99" i="53"/>
  <c r="AL153" i="53"/>
  <c r="AM94" i="53"/>
  <c r="AK155" i="53"/>
  <c r="AK237" i="53" s="1"/>
  <c r="AK252" i="53" s="1"/>
  <c r="AH115" i="47" s="1"/>
  <c r="AL96" i="53"/>
  <c r="AM159" i="53"/>
  <c r="AN100" i="53"/>
  <c r="Z258" i="53"/>
  <c r="W118" i="47" s="1"/>
  <c r="Z245" i="53"/>
  <c r="AA220" i="53"/>
  <c r="AL198" i="53"/>
  <c r="AL209" i="53"/>
  <c r="AL187" i="53"/>
  <c r="AL175" i="53"/>
  <c r="AL234" i="53" s="1"/>
  <c r="AL249" i="53" s="1"/>
  <c r="AI111" i="47" s="1"/>
  <c r="AM82" i="53"/>
  <c r="AL201" i="53"/>
  <c r="AL190" i="53"/>
  <c r="AL212" i="53"/>
  <c r="AL178" i="53"/>
  <c r="AM85" i="53"/>
  <c r="AK177" i="53"/>
  <c r="AK236" i="53" s="1"/>
  <c r="AK251" i="53" s="1"/>
  <c r="AH113" i="47" s="1"/>
  <c r="AK189" i="53"/>
  <c r="AK211" i="53"/>
  <c r="AK200" i="53"/>
  <c r="AL84" i="53"/>
  <c r="AJ223" i="53"/>
  <c r="AJ261" i="53" s="1"/>
  <c r="AG122" i="47" s="1"/>
  <c r="AK174" i="53"/>
  <c r="AK197" i="53"/>
  <c r="AK208" i="53"/>
  <c r="AK186" i="53"/>
  <c r="AL81" i="53"/>
  <c r="AK222" i="53"/>
  <c r="AK260" i="53" s="1"/>
  <c r="AH121" i="47" s="1"/>
  <c r="AO157" i="53"/>
  <c r="AO239" i="53" s="1"/>
  <c r="AP98" i="53"/>
  <c r="AJ151" i="53"/>
  <c r="AJ233" i="53" s="1"/>
  <c r="AJ248" i="53" s="1"/>
  <c r="AG109" i="47" s="1"/>
  <c r="AK92" i="53"/>
  <c r="AM165" i="53"/>
  <c r="AN73" i="53"/>
  <c r="AL216" i="53"/>
  <c r="AL182" i="53"/>
  <c r="AL241" i="53" s="1"/>
  <c r="AL256" i="53" s="1"/>
  <c r="AI114" i="47" s="1"/>
  <c r="AL205" i="53"/>
  <c r="AL194" i="53"/>
  <c r="AM89" i="53"/>
  <c r="AM95" i="53" l="1"/>
  <c r="AL154" i="53"/>
  <c r="AN97" i="53"/>
  <c r="AM156" i="53"/>
  <c r="AM238" i="53" s="1"/>
  <c r="AL228" i="53"/>
  <c r="AL266" i="53" s="1"/>
  <c r="AI123" i="47" s="1"/>
  <c r="AN167" i="53"/>
  <c r="AO75" i="53"/>
  <c r="AN165" i="53"/>
  <c r="AO73" i="53"/>
  <c r="AK151" i="53"/>
  <c r="AK233" i="53" s="1"/>
  <c r="AK248" i="53" s="1"/>
  <c r="AH109" i="47" s="1"/>
  <c r="AL92" i="53"/>
  <c r="AP157" i="53"/>
  <c r="AP239" i="53" s="1"/>
  <c r="AQ98" i="53"/>
  <c r="AL186" i="53"/>
  <c r="AL197" i="53"/>
  <c r="AL208" i="53"/>
  <c r="AL174" i="53"/>
  <c r="AM81" i="53"/>
  <c r="AL189" i="53"/>
  <c r="AL177" i="53"/>
  <c r="AL200" i="53"/>
  <c r="AL211" i="53"/>
  <c r="AM84" i="53"/>
  <c r="AM190" i="53"/>
  <c r="AM178" i="53"/>
  <c r="AM201" i="53"/>
  <c r="AM212" i="53"/>
  <c r="AN85" i="53"/>
  <c r="AA258" i="53"/>
  <c r="X118" i="47" s="1"/>
  <c r="AA245" i="53"/>
  <c r="AL235" i="53"/>
  <c r="AL250" i="53" s="1"/>
  <c r="AI112" i="47" s="1"/>
  <c r="AJ245" i="53"/>
  <c r="AJ258" i="53"/>
  <c r="AG118" i="47" s="1"/>
  <c r="AM182" i="53"/>
  <c r="AM241" i="53" s="1"/>
  <c r="AM205" i="53"/>
  <c r="AM194" i="53"/>
  <c r="AM216" i="53"/>
  <c r="AN89" i="53"/>
  <c r="AK220" i="53"/>
  <c r="AK223" i="53"/>
  <c r="AK261" i="53" s="1"/>
  <c r="AH122" i="47" s="1"/>
  <c r="AL224" i="53"/>
  <c r="AL262" i="53" s="1"/>
  <c r="AI124" i="47" s="1"/>
  <c r="AM198" i="53"/>
  <c r="AM187" i="53"/>
  <c r="AM209" i="53"/>
  <c r="AM175" i="53"/>
  <c r="AN82" i="53"/>
  <c r="AL221" i="53"/>
  <c r="AL259" i="53" s="1"/>
  <c r="AI120" i="47" s="1"/>
  <c r="AN159" i="53"/>
  <c r="AO100" i="53"/>
  <c r="AL155" i="53"/>
  <c r="AL237" i="53" s="1"/>
  <c r="AL252" i="53" s="1"/>
  <c r="AI115" i="47" s="1"/>
  <c r="AM96" i="53"/>
  <c r="AM153" i="53"/>
  <c r="AN94" i="53"/>
  <c r="AN158" i="53"/>
  <c r="AN240" i="53" s="1"/>
  <c r="AO99" i="53"/>
  <c r="AM176" i="53"/>
  <c r="AM235" i="53" s="1"/>
  <c r="AM199" i="53"/>
  <c r="AM210" i="53"/>
  <c r="AM188" i="53"/>
  <c r="AN83" i="53"/>
  <c r="AL222" i="53"/>
  <c r="AL260" i="53" s="1"/>
  <c r="AI121" i="47" s="1"/>
  <c r="AP164" i="53"/>
  <c r="AQ72" i="53"/>
  <c r="AN166" i="53"/>
  <c r="AO74" i="53"/>
  <c r="AM162" i="53"/>
  <c r="AN70" i="53"/>
  <c r="AN170" i="53"/>
  <c r="AO78" i="53"/>
  <c r="AO163" i="53"/>
  <c r="AP71" i="53"/>
  <c r="AM152" i="53"/>
  <c r="AN93" i="53"/>
  <c r="AN213" i="53"/>
  <c r="AN202" i="53"/>
  <c r="AN179" i="53"/>
  <c r="AN191" i="53"/>
  <c r="AO86" i="53"/>
  <c r="AM225" i="53"/>
  <c r="AL236" i="53" l="1"/>
  <c r="AL251" i="53" s="1"/>
  <c r="AI113" i="47" s="1"/>
  <c r="AN95" i="53"/>
  <c r="AM154" i="53"/>
  <c r="AN156" i="53"/>
  <c r="AN238" i="53" s="1"/>
  <c r="AO97" i="53"/>
  <c r="AN225" i="53"/>
  <c r="AM222" i="53"/>
  <c r="AM221" i="53"/>
  <c r="AP75" i="53"/>
  <c r="AO167" i="53"/>
  <c r="AN152" i="53"/>
  <c r="AO93" i="53"/>
  <c r="AP163" i="53"/>
  <c r="AQ71" i="53"/>
  <c r="AO170" i="53"/>
  <c r="AP78" i="53"/>
  <c r="AN162" i="53"/>
  <c r="AO70" i="53"/>
  <c r="AO166" i="53"/>
  <c r="AP74" i="53"/>
  <c r="AQ164" i="53"/>
  <c r="AR72" i="53"/>
  <c r="AO158" i="53"/>
  <c r="AO240" i="53" s="1"/>
  <c r="AP99" i="53"/>
  <c r="AN153" i="53"/>
  <c r="AO94" i="53"/>
  <c r="AM155" i="53"/>
  <c r="AN96" i="53"/>
  <c r="AO159" i="53"/>
  <c r="AP100" i="53"/>
  <c r="AM234" i="53"/>
  <c r="AN182" i="53"/>
  <c r="AN241" i="53" s="1"/>
  <c r="AN216" i="53"/>
  <c r="AN194" i="53"/>
  <c r="AN205" i="53"/>
  <c r="AO89" i="53"/>
  <c r="AM228" i="53"/>
  <c r="AN201" i="53"/>
  <c r="AN212" i="53"/>
  <c r="AN190" i="53"/>
  <c r="AN178" i="53"/>
  <c r="AO85" i="53"/>
  <c r="AM224" i="53"/>
  <c r="AQ157" i="53"/>
  <c r="AQ239" i="53" s="1"/>
  <c r="AM254" i="53" s="1"/>
  <c r="AJ110" i="47" s="1"/>
  <c r="AR98" i="53"/>
  <c r="AL151" i="53"/>
  <c r="AL233" i="53" s="1"/>
  <c r="AL248" i="53" s="1"/>
  <c r="AI109" i="47" s="1"/>
  <c r="AM92" i="53"/>
  <c r="AO165" i="53"/>
  <c r="AP73" i="53"/>
  <c r="AO179" i="53"/>
  <c r="AO213" i="53"/>
  <c r="AO202" i="53"/>
  <c r="AO191" i="53"/>
  <c r="AP86" i="53"/>
  <c r="AN176" i="53"/>
  <c r="AN235" i="53" s="1"/>
  <c r="AN199" i="53"/>
  <c r="AN210" i="53"/>
  <c r="AN188" i="53"/>
  <c r="AO83" i="53"/>
  <c r="AN198" i="53"/>
  <c r="AN175" i="53"/>
  <c r="AN234" i="53" s="1"/>
  <c r="AN209" i="53"/>
  <c r="AN187" i="53"/>
  <c r="AO82" i="53"/>
  <c r="AK258" i="53"/>
  <c r="AH118" i="47" s="1"/>
  <c r="AK245" i="53"/>
  <c r="AM237" i="53"/>
  <c r="AM200" i="53"/>
  <c r="AM189" i="53"/>
  <c r="AM211" i="53"/>
  <c r="AM177" i="53"/>
  <c r="AM236" i="53" s="1"/>
  <c r="AN84" i="53"/>
  <c r="AL223" i="53"/>
  <c r="AL261" i="53" s="1"/>
  <c r="AI122" i="47" s="1"/>
  <c r="AM197" i="53"/>
  <c r="AM186" i="53"/>
  <c r="AM174" i="53"/>
  <c r="AM208" i="53"/>
  <c r="AN81" i="53"/>
  <c r="AL220" i="53"/>
  <c r="AN224" i="53" l="1"/>
  <c r="AM223" i="53"/>
  <c r="AN221" i="53"/>
  <c r="AO225" i="53"/>
  <c r="AN228" i="53"/>
  <c r="AO95" i="53"/>
  <c r="AN154" i="53"/>
  <c r="AO156" i="53"/>
  <c r="AO238" i="53" s="1"/>
  <c r="AP97" i="53"/>
  <c r="AQ75" i="53"/>
  <c r="AP167" i="53"/>
  <c r="AL245" i="53"/>
  <c r="AL258" i="53"/>
  <c r="AI118" i="47" s="1"/>
  <c r="AM220" i="53"/>
  <c r="AO199" i="53"/>
  <c r="AO176" i="53"/>
  <c r="AO210" i="53"/>
  <c r="AO188" i="53"/>
  <c r="AP83" i="53"/>
  <c r="AP165" i="53"/>
  <c r="AQ73" i="53"/>
  <c r="AM151" i="53"/>
  <c r="AM233" i="53" s="1"/>
  <c r="AN92" i="53"/>
  <c r="AR157" i="53"/>
  <c r="AR239" i="53" s="1"/>
  <c r="AS98" i="53"/>
  <c r="AO201" i="53"/>
  <c r="AO178" i="53"/>
  <c r="AO212" i="53"/>
  <c r="AO190" i="53"/>
  <c r="AP85" i="53"/>
  <c r="AO205" i="53"/>
  <c r="AO182" i="53"/>
  <c r="AO241" i="53" s="1"/>
  <c r="AO216" i="53"/>
  <c r="AO194" i="53"/>
  <c r="AP89" i="53"/>
  <c r="AP159" i="53"/>
  <c r="AQ100" i="53"/>
  <c r="AN155" i="53"/>
  <c r="AN237" i="53" s="1"/>
  <c r="AO96" i="53"/>
  <c r="AO153" i="53"/>
  <c r="AP94" i="53"/>
  <c r="AP158" i="53"/>
  <c r="AP240" i="53" s="1"/>
  <c r="AQ99" i="53"/>
  <c r="AR164" i="53"/>
  <c r="AS72" i="53"/>
  <c r="AP166" i="53"/>
  <c r="AQ74" i="53"/>
  <c r="AO162" i="53"/>
  <c r="AP70" i="53"/>
  <c r="AP170" i="53"/>
  <c r="AQ78" i="53"/>
  <c r="AQ163" i="53"/>
  <c r="AR71" i="53"/>
  <c r="AO152" i="53"/>
  <c r="AP93" i="53"/>
  <c r="AN208" i="53"/>
  <c r="AN197" i="53"/>
  <c r="AN174" i="53"/>
  <c r="AN186" i="53"/>
  <c r="AO81" i="53"/>
  <c r="AN200" i="53"/>
  <c r="AN177" i="53"/>
  <c r="AN236" i="53" s="1"/>
  <c r="AN189" i="53"/>
  <c r="AN211" i="53"/>
  <c r="AO84" i="53"/>
  <c r="AO198" i="53"/>
  <c r="AO175" i="53"/>
  <c r="AO209" i="53"/>
  <c r="AO187" i="53"/>
  <c r="AP82" i="53"/>
  <c r="AN222" i="53"/>
  <c r="AP202" i="53"/>
  <c r="AP191" i="53"/>
  <c r="AP179" i="53"/>
  <c r="AP213" i="53"/>
  <c r="AQ86" i="53"/>
  <c r="AO221" i="53" l="1"/>
  <c r="AO234" i="53"/>
  <c r="AN223" i="53"/>
  <c r="AO154" i="53"/>
  <c r="AP95" i="53"/>
  <c r="AP156" i="53"/>
  <c r="AP238" i="53" s="1"/>
  <c r="AQ97" i="53"/>
  <c r="AO228" i="53"/>
  <c r="AO222" i="53"/>
  <c r="AR75" i="53"/>
  <c r="AQ167" i="53"/>
  <c r="AQ191" i="53"/>
  <c r="AQ213" i="53"/>
  <c r="AQ179" i="53"/>
  <c r="AQ202" i="53"/>
  <c r="AR86" i="53"/>
  <c r="AP209" i="53"/>
  <c r="AP198" i="53"/>
  <c r="AP187" i="53"/>
  <c r="AP175" i="53"/>
  <c r="AQ82" i="53"/>
  <c r="AN220" i="53"/>
  <c r="AP152" i="53"/>
  <c r="AQ93" i="53"/>
  <c r="AR163" i="53"/>
  <c r="AS71" i="53"/>
  <c r="AQ170" i="53"/>
  <c r="AR78" i="53"/>
  <c r="AP162" i="53"/>
  <c r="AQ70" i="53"/>
  <c r="AQ166" i="53"/>
  <c r="AR74" i="53"/>
  <c r="AS164" i="53"/>
  <c r="AT72" i="53"/>
  <c r="AQ158" i="53"/>
  <c r="AQ240" i="53" s="1"/>
  <c r="AM255" i="53" s="1"/>
  <c r="AJ116" i="47" s="1"/>
  <c r="AR99" i="53"/>
  <c r="AP153" i="53"/>
  <c r="AQ94" i="53"/>
  <c r="AO155" i="53"/>
  <c r="AP96" i="53"/>
  <c r="AQ159" i="53"/>
  <c r="AR100" i="53"/>
  <c r="AP205" i="53"/>
  <c r="AP194" i="53"/>
  <c r="AP182" i="53"/>
  <c r="AP241" i="53" s="1"/>
  <c r="AP216" i="53"/>
  <c r="AQ89" i="53"/>
  <c r="AO224" i="53"/>
  <c r="AO237" i="53"/>
  <c r="AS157" i="53"/>
  <c r="AS239" i="53" s="1"/>
  <c r="AT98" i="53"/>
  <c r="AN151" i="53"/>
  <c r="AO92" i="53"/>
  <c r="AQ165" i="53"/>
  <c r="AR73" i="53"/>
  <c r="AP176" i="53"/>
  <c r="AP235" i="53" s="1"/>
  <c r="AP199" i="53"/>
  <c r="AP188" i="53"/>
  <c r="AP210" i="53"/>
  <c r="AQ83" i="53"/>
  <c r="AP225" i="53"/>
  <c r="AO200" i="53"/>
  <c r="AO177" i="53"/>
  <c r="AO211" i="53"/>
  <c r="AO189" i="53"/>
  <c r="AP84" i="53"/>
  <c r="AO197" i="53"/>
  <c r="AO174" i="53"/>
  <c r="AO208" i="53"/>
  <c r="AO186" i="53"/>
  <c r="AO220" i="53" s="1"/>
  <c r="AP81" i="53"/>
  <c r="AN233" i="53"/>
  <c r="AP201" i="53"/>
  <c r="AP190" i="53"/>
  <c r="AP212" i="53"/>
  <c r="AP178" i="53"/>
  <c r="AQ85" i="53"/>
  <c r="AO235" i="53"/>
  <c r="AM245" i="53"/>
  <c r="AP224" i="53" l="1"/>
  <c r="AP222" i="53"/>
  <c r="AO236" i="53"/>
  <c r="AP154" i="53"/>
  <c r="AQ95" i="53"/>
  <c r="AP234" i="53"/>
  <c r="AQ156" i="53"/>
  <c r="AQ238" i="53" s="1"/>
  <c r="AM253" i="53" s="1"/>
  <c r="AJ117" i="47" s="1"/>
  <c r="AR97" i="53"/>
  <c r="AR167" i="53"/>
  <c r="AS75" i="53"/>
  <c r="AQ178" i="53"/>
  <c r="AQ190" i="53"/>
  <c r="AQ201" i="53"/>
  <c r="AQ212" i="53"/>
  <c r="AR85" i="53"/>
  <c r="AP197" i="53"/>
  <c r="AP208" i="53"/>
  <c r="AP186" i="53"/>
  <c r="AP174" i="53"/>
  <c r="AQ81" i="53"/>
  <c r="AO223" i="53"/>
  <c r="AR165" i="53"/>
  <c r="AS73" i="53"/>
  <c r="AO151" i="53"/>
  <c r="AO233" i="53" s="1"/>
  <c r="AP92" i="53"/>
  <c r="AT157" i="53"/>
  <c r="AT239" i="53" s="1"/>
  <c r="AU98" i="53"/>
  <c r="AU157" i="53" s="1"/>
  <c r="AU239" i="53" s="1"/>
  <c r="AQ205" i="53"/>
  <c r="AQ216" i="53"/>
  <c r="AQ182" i="53"/>
  <c r="AQ241" i="53" s="1"/>
  <c r="AM256" i="53" s="1"/>
  <c r="AJ114" i="47" s="1"/>
  <c r="AQ194" i="53"/>
  <c r="AR89" i="53"/>
  <c r="AQ175" i="53"/>
  <c r="AQ187" i="53"/>
  <c r="AQ209" i="53"/>
  <c r="AQ198" i="53"/>
  <c r="AR82" i="53"/>
  <c r="AP221" i="53"/>
  <c r="AP177" i="53"/>
  <c r="AP211" i="53"/>
  <c r="AP200" i="53"/>
  <c r="AP189" i="53"/>
  <c r="AQ84" i="53"/>
  <c r="AQ176" i="53"/>
  <c r="AQ188" i="53"/>
  <c r="AQ199" i="53"/>
  <c r="AQ210" i="53"/>
  <c r="AR83" i="53"/>
  <c r="AP228" i="53"/>
  <c r="AR159" i="53"/>
  <c r="AS100" i="53"/>
  <c r="AP155" i="53"/>
  <c r="AP237" i="53" s="1"/>
  <c r="AQ96" i="53"/>
  <c r="AQ153" i="53"/>
  <c r="AR94" i="53"/>
  <c r="AR158" i="53"/>
  <c r="AR240" i="53" s="1"/>
  <c r="AS99" i="53"/>
  <c r="AT164" i="53"/>
  <c r="AU72" i="53"/>
  <c r="AU164" i="53" s="1"/>
  <c r="AR166" i="53"/>
  <c r="AS74" i="53"/>
  <c r="AQ162" i="53"/>
  <c r="AR70" i="53"/>
  <c r="AR170" i="53"/>
  <c r="AS78" i="53"/>
  <c r="AS163" i="53"/>
  <c r="AT71" i="53"/>
  <c r="AQ152" i="53"/>
  <c r="AR93" i="53"/>
  <c r="AN245" i="53"/>
  <c r="AR191" i="53"/>
  <c r="AR213" i="53"/>
  <c r="AR202" i="53"/>
  <c r="AR179" i="53"/>
  <c r="AS86" i="53"/>
  <c r="AQ225" i="53"/>
  <c r="AM263" i="53" s="1"/>
  <c r="AJ126" i="47" s="1"/>
  <c r="AP236" i="53" l="1"/>
  <c r="AP223" i="53"/>
  <c r="AQ228" i="53"/>
  <c r="AM266" i="53" s="1"/>
  <c r="AJ123" i="47" s="1"/>
  <c r="AQ154" i="53"/>
  <c r="AR95" i="53"/>
  <c r="AR156" i="53"/>
  <c r="AS97" i="53"/>
  <c r="AR238" i="53"/>
  <c r="AT75" i="53"/>
  <c r="AS167" i="53"/>
  <c r="AO245" i="53"/>
  <c r="AS202" i="53"/>
  <c r="AS179" i="53"/>
  <c r="AS191" i="53"/>
  <c r="AS213" i="53"/>
  <c r="AT86" i="53"/>
  <c r="AR225" i="53"/>
  <c r="AR152" i="53"/>
  <c r="AS93" i="53"/>
  <c r="AT163" i="53"/>
  <c r="AU71" i="53"/>
  <c r="AU163" i="53" s="1"/>
  <c r="AS170" i="53"/>
  <c r="AT78" i="53"/>
  <c r="AR162" i="53"/>
  <c r="AS70" i="53"/>
  <c r="AS166" i="53"/>
  <c r="AT74" i="53"/>
  <c r="AS158" i="53"/>
  <c r="AS240" i="53" s="1"/>
  <c r="AT99" i="53"/>
  <c r="AR153" i="53"/>
  <c r="AS94" i="53"/>
  <c r="AQ155" i="53"/>
  <c r="AQ237" i="53" s="1"/>
  <c r="AM252" i="53" s="1"/>
  <c r="AJ115" i="47" s="1"/>
  <c r="AR96" i="53"/>
  <c r="AS159" i="53"/>
  <c r="AT100" i="53"/>
  <c r="AQ222" i="53"/>
  <c r="AM260" i="53" s="1"/>
  <c r="AJ121" i="47" s="1"/>
  <c r="AQ177" i="53"/>
  <c r="AQ200" i="53"/>
  <c r="AQ189" i="53"/>
  <c r="AQ211" i="53"/>
  <c r="AR84" i="53"/>
  <c r="AQ221" i="53"/>
  <c r="AM259" i="53" s="1"/>
  <c r="AJ120" i="47" s="1"/>
  <c r="AR182" i="53"/>
  <c r="AR241" i="53" s="1"/>
  <c r="AR194" i="53"/>
  <c r="AR216" i="53"/>
  <c r="AR205" i="53"/>
  <c r="AS89" i="53"/>
  <c r="AQ186" i="53"/>
  <c r="AQ208" i="53"/>
  <c r="AQ174" i="53"/>
  <c r="AQ197" i="53"/>
  <c r="AR81" i="53"/>
  <c r="AP220" i="53"/>
  <c r="AQ224" i="53"/>
  <c r="AM262" i="53" s="1"/>
  <c r="AJ124" i="47" s="1"/>
  <c r="AR188" i="53"/>
  <c r="AR210" i="53"/>
  <c r="AR199" i="53"/>
  <c r="AR176" i="53"/>
  <c r="AR235" i="53" s="1"/>
  <c r="AS83" i="53"/>
  <c r="AQ235" i="53"/>
  <c r="AM250" i="53" s="1"/>
  <c r="AJ112" i="47" s="1"/>
  <c r="AR198" i="53"/>
  <c r="AR187" i="53"/>
  <c r="AR209" i="53"/>
  <c r="AR175" i="53"/>
  <c r="AR234" i="53" s="1"/>
  <c r="AS82" i="53"/>
  <c r="AQ234" i="53"/>
  <c r="AM249" i="53" s="1"/>
  <c r="AJ111" i="47" s="1"/>
  <c r="AP151" i="53"/>
  <c r="AQ92" i="53"/>
  <c r="AS165" i="53"/>
  <c r="AT73" i="53"/>
  <c r="AP233" i="53"/>
  <c r="AR190" i="53"/>
  <c r="AR212" i="53"/>
  <c r="AR178" i="53"/>
  <c r="AR201" i="53"/>
  <c r="AS85" i="53"/>
  <c r="AQ236" i="53" l="1"/>
  <c r="AM251" i="53" s="1"/>
  <c r="AJ113" i="47" s="1"/>
  <c r="AS95" i="53"/>
  <c r="AR154" i="53"/>
  <c r="AQ223" i="53"/>
  <c r="AM261" i="53" s="1"/>
  <c r="AJ122" i="47" s="1"/>
  <c r="AS156" i="53"/>
  <c r="AS238" i="53" s="1"/>
  <c r="AT97" i="53"/>
  <c r="AS225" i="53"/>
  <c r="AU75" i="53"/>
  <c r="AU167" i="53" s="1"/>
  <c r="AT167" i="53"/>
  <c r="AS198" i="53"/>
  <c r="AS209" i="53"/>
  <c r="AS175" i="53"/>
  <c r="AS187" i="53"/>
  <c r="AT82" i="53"/>
  <c r="AS199" i="53"/>
  <c r="AS210" i="53"/>
  <c r="AS176" i="53"/>
  <c r="AS188" i="53"/>
  <c r="AT83" i="53"/>
  <c r="AR222" i="53"/>
  <c r="AP245" i="53"/>
  <c r="AS182" i="53"/>
  <c r="AS241" i="53" s="1"/>
  <c r="AS194" i="53"/>
  <c r="AS205" i="53"/>
  <c r="AS216" i="53"/>
  <c r="AT89" i="53"/>
  <c r="AR177" i="53"/>
  <c r="AR236" i="53" s="1"/>
  <c r="AR189" i="53"/>
  <c r="AR211" i="53"/>
  <c r="AR200" i="53"/>
  <c r="AS84" i="53"/>
  <c r="AT159" i="53"/>
  <c r="AU100" i="53"/>
  <c r="AU159" i="53" s="1"/>
  <c r="AR155" i="53"/>
  <c r="AR237" i="53" s="1"/>
  <c r="AS96" i="53"/>
  <c r="AS153" i="53"/>
  <c r="AT94" i="53"/>
  <c r="AT158" i="53"/>
  <c r="AT240" i="53" s="1"/>
  <c r="AU99" i="53"/>
  <c r="AU158" i="53" s="1"/>
  <c r="AU240" i="53" s="1"/>
  <c r="AT166" i="53"/>
  <c r="AU74" i="53"/>
  <c r="AU166" i="53" s="1"/>
  <c r="AS162" i="53"/>
  <c r="AT70" i="53"/>
  <c r="AT170" i="53"/>
  <c r="AU78" i="53"/>
  <c r="AU170" i="53" s="1"/>
  <c r="AS152" i="53"/>
  <c r="AT93" i="53"/>
  <c r="AS178" i="53"/>
  <c r="AS190" i="53"/>
  <c r="AS201" i="53"/>
  <c r="AS212" i="53"/>
  <c r="AT85" i="53"/>
  <c r="AR224" i="53"/>
  <c r="AT165" i="53"/>
  <c r="AU73" i="53"/>
  <c r="AU165" i="53" s="1"/>
  <c r="AQ151" i="53"/>
  <c r="AR92" i="53"/>
  <c r="AR221" i="53"/>
  <c r="AR208" i="53"/>
  <c r="AR174" i="53"/>
  <c r="AR186" i="53"/>
  <c r="AR197" i="53"/>
  <c r="AS81" i="53"/>
  <c r="AQ233" i="53"/>
  <c r="AM248" i="53" s="1"/>
  <c r="AJ109" i="47" s="1"/>
  <c r="AQ220" i="53"/>
  <c r="AR228" i="53"/>
  <c r="AT179" i="53"/>
  <c r="AT202" i="53"/>
  <c r="AT191" i="53"/>
  <c r="AT213" i="53"/>
  <c r="AU86" i="53"/>
  <c r="AS154" i="53" l="1"/>
  <c r="AT95" i="53"/>
  <c r="AU97" i="53"/>
  <c r="AU156" i="53" s="1"/>
  <c r="AT156" i="53"/>
  <c r="AT238" i="53" s="1"/>
  <c r="AS222" i="53"/>
  <c r="AS224" i="53"/>
  <c r="AT152" i="53"/>
  <c r="AU93" i="53"/>
  <c r="AU152" i="53" s="1"/>
  <c r="AT162" i="53"/>
  <c r="AU70" i="53"/>
  <c r="AU162" i="53" s="1"/>
  <c r="AT153" i="53"/>
  <c r="AU94" i="53"/>
  <c r="AU153" i="53" s="1"/>
  <c r="AS155" i="53"/>
  <c r="AS237" i="53" s="1"/>
  <c r="AT96" i="53"/>
  <c r="AS177" i="53"/>
  <c r="AS236" i="53" s="1"/>
  <c r="AS189" i="53"/>
  <c r="AS211" i="53"/>
  <c r="AS200" i="53"/>
  <c r="AT84" i="53"/>
  <c r="AS228" i="53"/>
  <c r="AT199" i="53"/>
  <c r="AT210" i="53"/>
  <c r="AT176" i="53"/>
  <c r="AT235" i="53" s="1"/>
  <c r="AT188" i="53"/>
  <c r="AU83" i="53"/>
  <c r="AS235" i="53"/>
  <c r="AS221" i="53"/>
  <c r="AU202" i="53"/>
  <c r="AU191" i="53"/>
  <c r="AU179" i="53"/>
  <c r="AU213" i="53"/>
  <c r="AT225" i="53"/>
  <c r="AQ245" i="53"/>
  <c r="AM258" i="53"/>
  <c r="AJ118" i="47" s="1"/>
  <c r="AS197" i="53"/>
  <c r="AS208" i="53"/>
  <c r="AS174" i="53"/>
  <c r="AS186" i="53"/>
  <c r="AT81" i="53"/>
  <c r="AR220" i="53"/>
  <c r="AR151" i="53"/>
  <c r="AR233" i="53" s="1"/>
  <c r="AS92" i="53"/>
  <c r="AT178" i="53"/>
  <c r="AT190" i="53"/>
  <c r="AT212" i="53"/>
  <c r="AT201" i="53"/>
  <c r="AU85" i="53"/>
  <c r="AR223" i="53"/>
  <c r="AT205" i="53"/>
  <c r="AT194" i="53"/>
  <c r="AT182" i="53"/>
  <c r="AT241" i="53" s="1"/>
  <c r="AT216" i="53"/>
  <c r="AU89" i="53"/>
  <c r="AT175" i="53"/>
  <c r="AT198" i="53"/>
  <c r="AT187" i="53"/>
  <c r="AT209" i="53"/>
  <c r="AU82" i="53"/>
  <c r="AS234" i="53"/>
  <c r="AT234" i="53" l="1"/>
  <c r="AU238" i="53"/>
  <c r="AT154" i="53"/>
  <c r="AU95" i="53"/>
  <c r="AU154" i="53" s="1"/>
  <c r="AT221" i="53"/>
  <c r="AU175" i="53"/>
  <c r="AU234" i="53" s="1"/>
  <c r="AU209" i="53"/>
  <c r="AU198" i="53"/>
  <c r="AU187" i="53"/>
  <c r="AU216" i="53"/>
  <c r="AU205" i="53"/>
  <c r="AU182" i="53"/>
  <c r="AU241" i="53" s="1"/>
  <c r="AU194" i="53"/>
  <c r="AT224" i="53"/>
  <c r="AS151" i="53"/>
  <c r="AT92" i="53"/>
  <c r="AR245" i="53"/>
  <c r="AS220" i="53"/>
  <c r="AT222" i="53"/>
  <c r="AS223" i="53"/>
  <c r="AT155" i="53"/>
  <c r="AT237" i="53" s="1"/>
  <c r="AU96" i="53"/>
  <c r="AU155" i="53" s="1"/>
  <c r="AT228" i="53"/>
  <c r="AU201" i="53"/>
  <c r="AU190" i="53"/>
  <c r="AU178" i="53"/>
  <c r="AU212" i="53"/>
  <c r="AT174" i="53"/>
  <c r="AT208" i="53"/>
  <c r="AT197" i="53"/>
  <c r="AT186" i="53"/>
  <c r="AU81" i="53"/>
  <c r="AS233" i="53"/>
  <c r="AU225" i="53"/>
  <c r="AU176" i="53"/>
  <c r="AU235" i="53" s="1"/>
  <c r="AU210" i="53"/>
  <c r="AU188" i="53"/>
  <c r="AU199" i="53"/>
  <c r="AT177" i="53"/>
  <c r="AT236" i="53" s="1"/>
  <c r="AT200" i="53"/>
  <c r="AT189" i="53"/>
  <c r="AT211" i="53"/>
  <c r="AU84" i="53"/>
  <c r="AT223" i="53" l="1"/>
  <c r="AU222" i="53"/>
  <c r="AU237" i="53"/>
  <c r="AT220" i="53"/>
  <c r="AU174" i="53"/>
  <c r="AU186" i="53"/>
  <c r="AU208" i="53"/>
  <c r="AU197" i="53"/>
  <c r="AU224" i="53"/>
  <c r="AU228" i="53"/>
  <c r="AU221" i="53"/>
  <c r="AU177" i="53"/>
  <c r="AU236" i="53" s="1"/>
  <c r="AU211" i="53"/>
  <c r="AU200" i="53"/>
  <c r="AU189" i="53"/>
  <c r="AS245" i="53"/>
  <c r="AT151" i="53"/>
  <c r="AT233" i="53" s="1"/>
  <c r="AU92" i="53"/>
  <c r="AU151" i="53" s="1"/>
  <c r="AT245" i="53" l="1"/>
  <c r="AU223" i="53"/>
  <c r="AU220" i="53"/>
  <c r="AU233" i="53"/>
  <c r="AU245" i="5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00000000-0006-0000-1200-000001000000}">
      <text>
        <r>
          <rPr>
            <b/>
            <sz val="9"/>
            <color indexed="81"/>
            <rFont val="Tahoma"/>
            <family val="2"/>
          </rPr>
          <t>bruno merven:</t>
        </r>
        <r>
          <rPr>
            <sz val="9"/>
            <color indexed="81"/>
            <rFont val="Tahoma"/>
            <family val="2"/>
          </rPr>
          <t xml:space="preserve">
historical average</t>
        </r>
      </text>
    </comment>
    <comment ref="M23" authorId="0" shapeId="0" xr:uid="{00000000-0006-0000-1200-000002000000}">
      <text>
        <r>
          <rPr>
            <b/>
            <sz val="9"/>
            <color indexed="81"/>
            <rFont val="Tahoma"/>
            <family val="2"/>
          </rPr>
          <t>bruno merven:</t>
        </r>
        <r>
          <rPr>
            <sz val="9"/>
            <color indexed="81"/>
            <rFont val="Tahoma"/>
            <family val="2"/>
          </rPr>
          <t xml:space="preserve">
historical</t>
        </r>
      </text>
    </comment>
    <comment ref="N23" authorId="0" shapeId="0" xr:uid="{00000000-0006-0000-1200-000003000000}">
      <text>
        <r>
          <rPr>
            <b/>
            <sz val="9"/>
            <color indexed="81"/>
            <rFont val="Tahoma"/>
            <family val="2"/>
          </rPr>
          <t>bruno merven:</t>
        </r>
        <r>
          <rPr>
            <sz val="9"/>
            <color indexed="81"/>
            <rFont val="Tahoma"/>
            <family val="2"/>
          </rPr>
          <t xml:space="preserve">
2 year lag</t>
        </r>
      </text>
    </comment>
    <comment ref="C27" authorId="1" shapeId="0" xr:uid="{00000000-0006-0000-1200-000004000000}">
      <text>
        <r>
          <rPr>
            <b/>
            <sz val="9"/>
            <color indexed="81"/>
            <rFont val="Tahoma"/>
            <family val="2"/>
          </rPr>
          <t>Bryce McCall:</t>
        </r>
        <r>
          <rPr>
            <sz val="9"/>
            <color indexed="81"/>
            <rFont val="Tahoma"/>
            <family val="2"/>
          </rPr>
          <t xml:space="preserve">
Adrian is using 20-22% in the commerce EE study with DoE</t>
        </r>
      </text>
    </comment>
    <comment ref="L57" authorId="2" shapeId="0" xr:uid="{00000000-0006-0000-1200-000005000000}">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B42" authorId="0" shapeId="0" xr:uid="{7B7AC399-BFF0-4E2B-81EB-16B5B034182E}">
      <text>
        <r>
          <rPr>
            <b/>
            <sz val="9"/>
            <color indexed="81"/>
            <rFont val="Tahoma"/>
            <family val="2"/>
          </rPr>
          <t>fadiel: 2015 calibration</t>
        </r>
        <r>
          <rPr>
            <sz val="9"/>
            <color indexed="81"/>
            <rFont val="Tahoma"/>
            <family val="2"/>
          </rPr>
          <t xml:space="preserve">
2015-Annual-FSV-at-National-Level (1) 
OGS differential 2015 consumption factor</t>
        </r>
      </text>
    </comment>
    <comment ref="B53" authorId="2"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2"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E77" authorId="2"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s>
  <commentList>
    <comment ref="B16" authorId="0"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0" shapeId="0" xr:uid="{00000000-0006-0000-1600-000002000000}">
      <text>
        <r>
          <rPr>
            <b/>
            <sz val="8"/>
            <color indexed="81"/>
            <rFont val="Tahoma"/>
            <family val="2"/>
          </rPr>
          <t>Bruno Merven:</t>
        </r>
        <r>
          <rPr>
            <sz val="8"/>
            <color indexed="81"/>
            <rFont val="Tahoma"/>
            <family val="2"/>
          </rPr>
          <t xml:space="preserve">
From 2006 Energy Balance</t>
        </r>
      </text>
    </comment>
    <comment ref="K22" authorId="1" shapeId="0" xr:uid="{00000000-0006-0000-1600-000003000000}">
      <text>
        <r>
          <rPr>
            <b/>
            <sz val="9"/>
            <color indexed="81"/>
            <rFont val="Tahoma"/>
            <family val="2"/>
          </rPr>
          <t>bruno merven:</t>
        </r>
        <r>
          <rPr>
            <sz val="9"/>
            <color indexed="81"/>
            <rFont val="Tahoma"/>
            <family val="2"/>
          </rPr>
          <t xml:space="preserve">
2013 EB
</t>
        </r>
      </text>
    </comment>
  </commentList>
</comments>
</file>

<file path=xl/sharedStrings.xml><?xml version="1.0" encoding="utf-8"?>
<sst xmlns="http://schemas.openxmlformats.org/spreadsheetml/2006/main" count="3979" uniqueCount="663">
  <si>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</si>
  <si>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</si>
  <si>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</si>
  <si>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</si>
  <si>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</si>
  <si>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</si>
  <si>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</si>
  <si>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</si>
  <si>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</si>
  <si>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</si>
  <si>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</si>
  <si>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</si>
  <si>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</si>
  <si>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</si>
  <si>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</si>
  <si>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</si>
  <si>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</si>
  <si>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</si>
  <si>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</si>
  <si>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</si>
  <si>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</si>
  <si>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</si>
  <si>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</si>
  <si>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</si>
  <si>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</si>
  <si>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</si>
  <si>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</si>
  <si>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</si>
  <si>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</si>
  <si>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</si>
  <si>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</si>
  <si>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</si>
  <si>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</si>
  <si>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</si>
  <si>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</si>
  <si>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</si>
  <si>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</si>
  <si>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</si>
  <si>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</si>
  <si>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</si>
  <si>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</si>
  <si>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</si>
  <si>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</si>
  <si>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</si>
  <si>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</si>
  <si>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</si>
  <si>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</si>
  <si>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</si>
  <si>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</si>
  <si>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</si>
  <si>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</si>
  <si>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</si>
  <si>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</si>
  <si>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</si>
  <si>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</si>
  <si>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</si>
  <si>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</si>
  <si>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</si>
  <si>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</si>
  <si>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</si>
  <si>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</si>
  <si>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</si>
  <si>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</si>
  <si>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</si>
  <si>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</si>
  <si>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</si>
  <si>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</si>
  <si>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</si>
  <si>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</si>
  <si>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</si>
  <si>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</si>
  <si>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</si>
  <si>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</si>
  <si>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</si>
  <si>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</si>
  <si>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</si>
  <si>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</si>
  <si>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</si>
  <si>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</si>
  <si>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</si>
  <si>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</si>
  <si>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</si>
  <si>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</si>
  <si>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</si>
  <si>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</si>
  <si>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</si>
  <si>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</si>
  <si>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</si>
  <si>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</si>
  <si>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</si>
  <si>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</si>
  <si>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</si>
  <si>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</si>
  <si>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</si>
  <si>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</si>
  <si>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</si>
  <si>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</si>
  <si>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</si>
  <si>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</si>
  <si>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</si>
  <si>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</si>
  <si>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</si>
  <si>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</si>
  <si>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</si>
  <si>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</si>
  <si>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</si>
  <si>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</si>
  <si>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</si>
  <si>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</si>
  <si>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</si>
  <si>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</si>
  <si>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</si>
  <si>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</si>
  <si>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</si>
  <si>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</si>
  <si>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</si>
  <si>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</si>
  <si>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</si>
  <si>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</si>
  <si>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</si>
  <si>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</si>
  <si>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</si>
  <si>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</si>
  <si>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</si>
  <si>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</si>
  <si>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</si>
  <si>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</si>
  <si>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</si>
  <si>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</si>
  <si>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</si>
  <si>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</si>
  <si>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</si>
  <si>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</si>
  <si>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</si>
  <si>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</si>
  <si>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</si>
  <si>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</si>
  <si>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</si>
  <si>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</si>
  <si>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</si>
  <si>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</si>
  <si>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</si>
  <si>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</si>
  <si>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</si>
  <si>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</si>
  <si>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</si>
  <si>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</si>
  <si>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</si>
  <si>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</si>
  <si>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</si>
  <si>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</si>
  <si>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</si>
  <si>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</si>
  <si>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</si>
  <si>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</si>
  <si>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</si>
  <si>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</si>
  <si>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</si>
  <si>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</si>
  <si>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</si>
  <si>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</si>
  <si>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</si>
  <si>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</si>
  <si>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</si>
  <si>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</si>
  <si>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</si>
  <si>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</si>
  <si>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</si>
  <si>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</si>
  <si>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</si>
  <si>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</si>
  <si>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</si>
  <si>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</si>
  <si>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</si>
  <si>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</si>
  <si>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</si>
  <si>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</si>
  <si>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</si>
  <si>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</si>
  <si>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</si>
  <si>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</si>
  <si>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</si>
  <si>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</si>
  <si>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</si>
  <si>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</si>
  <si>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</si>
  <si>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</si>
  <si>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</si>
  <si>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</si>
  <si>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</si>
  <si>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</si>
  <si>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</si>
  <si>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</si>
  <si>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</si>
  <si>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</si>
  <si>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</si>
  <si>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</si>
  <si>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</si>
  <si>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</si>
  <si>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</si>
  <si>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</si>
  <si>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</si>
  <si>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</si>
  <si>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</si>
  <si>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</si>
  <si>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</si>
  <si>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</si>
  <si>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</si>
  <si>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</si>
  <si>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</si>
  <si>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</si>
  <si>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</si>
  <si>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</si>
  <si>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</si>
  <si>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</si>
  <si>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</si>
  <si>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</si>
  <si>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</si>
  <si>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</si>
  <si>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</si>
  <si>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</si>
  <si>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</si>
  <si>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</si>
  <si>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</si>
  <si>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</si>
  <si>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</si>
  <si>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</si>
  <si>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</si>
  <si>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</si>
  <si>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</si>
  <si>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</si>
  <si>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</si>
  <si>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</si>
  <si>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</si>
  <si>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</si>
  <si>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</si>
  <si>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</si>
  <si>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</si>
  <si>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</si>
  <si>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</si>
  <si>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</si>
  <si>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</si>
  <si>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</si>
  <si>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</si>
  <si>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</si>
  <si>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</si>
  <si>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</si>
  <si>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</si>
  <si>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</si>
  <si>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</si>
  <si>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</si>
  <si>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</si>
  <si>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</si>
  <si>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</si>
  <si>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</si>
  <si>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</si>
  <si>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</si>
  <si>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</si>
  <si>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</si>
  <si>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</si>
  <si>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</si>
  <si>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</si>
  <si>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</si>
  <si>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</si>
  <si>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</si>
  <si>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</si>
  <si>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</si>
  <si>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</si>
  <si>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</si>
  <si>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</si>
  <si>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</si>
  <si>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</si>
  <si>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</si>
  <si>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</si>
  <si>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</si>
  <si>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</si>
  <si>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</si>
  <si>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</si>
  <si>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</si>
  <si>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</si>
  <si>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</si>
  <si>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</si>
  <si>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</si>
  <si>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</si>
  <si>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</si>
  <si>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</si>
  <si>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</si>
  <si>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</si>
  <si>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</si>
  <si>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</si>
  <si>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</si>
  <si>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</si>
  <si>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</si>
  <si>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</si>
  <si>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</si>
  <si>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</si>
  <si>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</si>
  <si>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</si>
  <si>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</si>
  <si>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</si>
  <si>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</si>
  <si>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</si>
  <si>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</si>
  <si>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</si>
  <si>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</si>
  <si>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GDP_FSX</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</si>
  <si>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</si>
  <si>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</si>
  <si>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</si>
  <si>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</si>
  <si>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</si>
  <si>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</si>
  <si>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</si>
  <si>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</si>
  <si>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</si>
  <si>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</si>
  <si>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</si>
  <si>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</si>
  <si>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</si>
  <si>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</si>
  <si>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</si>
  <si>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</si>
  <si>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</si>
  <si>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</si>
  <si>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</si>
  <si>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</si>
  <si>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</si>
  <si>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</si>
  <si>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</si>
  <si>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</si>
  <si>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</si>
  <si>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</si>
  <si>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</si>
  <si>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</si>
  <si>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</si>
  <si>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</si>
  <si>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</si>
  <si>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</si>
  <si>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</si>
  <si>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</si>
  <si>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</si>
  <si>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</si>
  <si>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</si>
  <si>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</si>
  <si>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</si>
  <si>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</si>
  <si>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</si>
  <si>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</si>
  <si>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</si>
  <si>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</si>
  <si>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</si>
  <si>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</si>
  <si>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</si>
  <si>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</si>
  <si>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</si>
  <si>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</si>
  <si>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</si>
  <si>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</si>
  <si>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</si>
  <si>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</si>
  <si>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</si>
  <si>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</si>
  <si>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</si>
  <si>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</si>
  <si>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</si>
  <si>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</si>
  <si>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</si>
  <si>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</si>
  <si>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</si>
  <si>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</si>
  <si>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</si>
  <si>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</si>
  <si>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</si>
  <si>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</si>
  <si>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</si>
  <si>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</si>
  <si>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</si>
  <si>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</si>
  <si>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</si>
  <si>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</si>
  <si>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</si>
  <si>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</si>
  <si>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</si>
  <si>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</si>
  <si>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</si>
  <si>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</si>
  <si>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</si>
  <si>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</si>
  <si>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</si>
  <si>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</si>
  <si>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</si>
  <si>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</si>
  <si>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</si>
  <si>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</si>
  <si>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</si>
  <si>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</si>
  <si>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</si>
  <si>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</si>
  <si>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</si>
  <si>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</si>
  <si>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</si>
  <si>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</si>
  <si>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</si>
  <si>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</si>
  <si>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</si>
  <si>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MCDrivers!A5</t>
  </si>
  <si>
    <t>MCDrivers!A42</t>
  </si>
  <si>
    <t>Demand Switch</t>
  </si>
  <si>
    <t>total</t>
  </si>
  <si>
    <t>High Income</t>
  </si>
  <si>
    <t>2015-Jan-April</t>
  </si>
  <si>
    <t>Added a whole lot of links to CGE and also and Monte Carlo Link</t>
  </si>
  <si>
    <t>Bruno</t>
  </si>
  <si>
    <t>MCDrivers!A50</t>
  </si>
  <si>
    <t>TRAMOD</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</si>
  <si>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</si>
  <si>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</si>
  <si>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</si>
  <si>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</si>
  <si>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</si>
  <si>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</si>
  <si>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</si>
  <si>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</si>
  <si>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</si>
  <si>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</si>
  <si>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</si>
  <si>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</si>
  <si>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</si>
  <si>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</si>
  <si>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</si>
  <si>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</si>
  <si>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</si>
  <si>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</si>
  <si>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</si>
  <si>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</si>
  <si>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</si>
  <si>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</si>
  <si>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</si>
  <si>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</si>
  <si>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</si>
  <si>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Passengerkm</t>
  </si>
  <si>
    <t>Tonkm</t>
  </si>
  <si>
    <t>low income</t>
  </si>
  <si>
    <t>medium income</t>
  </si>
  <si>
    <t>high income</t>
  </si>
  <si>
    <t>Pkm by income by mode</t>
  </si>
  <si>
    <t>TPPU</t>
  </si>
  <si>
    <t>TPPR</t>
  </si>
  <si>
    <t>Private</t>
  </si>
  <si>
    <t>Public</t>
  </si>
  <si>
    <t>Commerce</t>
  </si>
  <si>
    <t>Mining</t>
  </si>
  <si>
    <t>Food&amp;Bev</t>
  </si>
  <si>
    <t>Pulp&amp;Paper</t>
  </si>
  <si>
    <t>Chemicals</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</si>
  <si>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</si>
  <si>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</si>
  <si>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</si>
  <si>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</si>
  <si>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</si>
  <si>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</si>
  <si>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</si>
  <si>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</si>
  <si>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</si>
  <si>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</si>
  <si>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</si>
  <si>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</si>
  <si>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</si>
  <si>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</si>
  <si>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</si>
  <si>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</si>
  <si>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</si>
  <si>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</si>
  <si>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</si>
  <si>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</si>
  <si>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</si>
  <si>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</si>
  <si>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</si>
  <si>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</si>
  <si>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</si>
  <si>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</si>
  <si>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</si>
  <si>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</si>
  <si>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</si>
  <si>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</si>
  <si>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Modal Shift</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</si>
  <si>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</si>
  <si>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</si>
  <si>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</si>
  <si>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</si>
  <si>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</si>
  <si>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</si>
  <si>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</si>
  <si>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</si>
  <si>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</si>
  <si>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</si>
  <si>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</si>
  <si>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</si>
  <si>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</si>
  <si>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</si>
  <si>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</si>
  <si>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</si>
  <si>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</si>
  <si>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</si>
  <si>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</si>
  <si>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</si>
  <si>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</si>
  <si>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</si>
  <si>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</si>
  <si>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</si>
  <si>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</si>
  <si>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</si>
  <si>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</si>
  <si>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</si>
  <si>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</si>
  <si>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PKMFH</t>
  </si>
  <si>
    <t>SFORE_X</t>
  </si>
  <si>
    <t>MCDrivers!A80</t>
  </si>
  <si>
    <t>TFHPOP_X</t>
  </si>
  <si>
    <t>MCDrivers!A100</t>
  </si>
  <si>
    <t>set</t>
  </si>
  <si>
    <t>MFHHT</t>
  </si>
  <si>
    <t>MCDrivers!A120</t>
  </si>
  <si>
    <t>To do:</t>
  </si>
  <si>
    <t>Fix years in MCEcon</t>
  </si>
  <si>
    <t>Add flag for regression function to parameter that gets written by MCSIM</t>
  </si>
  <si>
    <t>Separate flags for passenger and freight</t>
  </si>
  <si>
    <t>Cleanup MCEcon</t>
  </si>
  <si>
    <t>TFHPOPMY</t>
  </si>
  <si>
    <t>MCDrivers!A60</t>
  </si>
  <si>
    <t>YHE</t>
  </si>
  <si>
    <t>MCDrivers!A70</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</si>
  <si>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</si>
  <si>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</si>
  <si>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</si>
  <si>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</si>
  <si>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</si>
  <si>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</si>
  <si>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</si>
  <si>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</si>
  <si>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</si>
  <si>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</si>
  <si>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</si>
  <si>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PAMS</t>
  </si>
  <si>
    <t>fb</t>
  </si>
  <si>
    <t>ot</t>
  </si>
  <si>
    <t>pp</t>
  </si>
  <si>
    <t>cp</t>
  </si>
  <si>
    <t>nm</t>
  </si>
  <si>
    <t>nf</t>
  </si>
  <si>
    <t>elec</t>
  </si>
  <si>
    <t>petr</t>
  </si>
  <si>
    <t>hhd-0</t>
  </si>
  <si>
    <t>hhd-1</t>
  </si>
  <si>
    <t>hhd-2</t>
  </si>
  <si>
    <t>hhd-3</t>
  </si>
  <si>
    <t>hhd-4</t>
  </si>
  <si>
    <t>hhd-5</t>
  </si>
  <si>
    <t>hhd-6</t>
  </si>
  <si>
    <t>hhd-7</t>
  </si>
  <si>
    <t>hhd-8</t>
  </si>
  <si>
    <t>Set</t>
  </si>
  <si>
    <t>PAMS_TRA01</t>
  </si>
  <si>
    <t>PAMS_TRA02</t>
  </si>
  <si>
    <t>FTRA</t>
  </si>
  <si>
    <t>PTRA</t>
  </si>
  <si>
    <t>Household Income Group - Private Veh Ownership - High Income</t>
  </si>
  <si>
    <t>Household Income Group - Private Veh Ownership - Middle Income</t>
  </si>
  <si>
    <t>PAMS Reference</t>
  </si>
  <si>
    <t>sheet</t>
  </si>
  <si>
    <t>RMEWG</t>
  </si>
  <si>
    <t>MCDrivers!A180</t>
  </si>
  <si>
    <t>Non-metallic minerals</t>
  </si>
  <si>
    <t>Iron&amp;steel</t>
  </si>
  <si>
    <t>Non-ferrous</t>
  </si>
  <si>
    <t>Transport_pass</t>
  </si>
  <si>
    <t>Transport_Freight</t>
  </si>
  <si>
    <t>PAMS_TRA01C</t>
  </si>
  <si>
    <t>growth</t>
  </si>
  <si>
    <t>PAMS_TRA02C</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</si>
  <si>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</si>
  <si>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</si>
  <si>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</si>
  <si>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</si>
  <si>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</si>
  <si>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</si>
  <si>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</si>
  <si>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</si>
  <si>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</si>
  <si>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</si>
  <si>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</si>
  <si>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</si>
  <si>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</si>
  <si>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</si>
  <si>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</si>
  <si>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</si>
  <si>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</si>
  <si>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</si>
  <si>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</si>
  <si>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</si>
  <si>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</si>
  <si>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</si>
  <si>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</si>
  <si>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</si>
  <si>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</si>
  <si>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</si>
  <si>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</si>
  <si>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</si>
  <si>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</si>
  <si>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</si>
  <si>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</si>
  <si>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</si>
  <si>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</si>
  <si>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</si>
  <si>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</si>
  <si>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</si>
  <si>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</si>
  <si>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</si>
  <si>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</si>
  <si>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</si>
  <si>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</si>
  <si>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</si>
  <si>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</si>
  <si>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</si>
  <si>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</si>
  <si>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</si>
  <si>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</si>
  <si>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</si>
  <si>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</si>
  <si>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</si>
  <si>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</si>
  <si>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</si>
  <si>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</si>
  <si>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</si>
  <si>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</si>
  <si>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</si>
  <si>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</si>
  <si>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</si>
  <si>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</si>
  <si>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</si>
  <si>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</si>
  <si>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</si>
  <si>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</si>
  <si>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</si>
  <si>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</si>
  <si>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</si>
  <si>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</si>
  <si>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</si>
  <si>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</si>
  <si>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</si>
  <si>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</si>
  <si>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L Commercial buildings only - 25%</t>
  </si>
  <si>
    <t>L Public buildings (50%) &amp; services (20%)</t>
  </si>
  <si>
    <t>All H</t>
  </si>
  <si>
    <t>All L</t>
  </si>
  <si>
    <t>Put the link back in L57 when done</t>
  </si>
  <si>
    <t>ratio</t>
  </si>
  <si>
    <t>existing to new buildings</t>
  </si>
  <si>
    <t>savings</t>
  </si>
  <si>
    <t>Standards distinguish between new and old buildings so ideally this should recognise new/old split</t>
  </si>
  <si>
    <t>Standards say from 2015 level</t>
  </si>
  <si>
    <t>lighting, space heating, cooling</t>
  </si>
  <si>
    <t>all income groups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</si>
</sst>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1" formatCode="_(* #,##0_);_(* \(#,##0\);_(* &quot;-&quot;_);_(@_)"/>
    <numFmt numFmtId="43" formatCode="_(* #,##0.00_);_(* \(#,##0.00\);_(* &quot;-&quot;??_);_(@_)"/>
    <numFmt numFmtId="164" formatCode="_-* #,##0.00_-;\-* #,##0.00_-;_-* &quot;-&quot;??_-;_-@_-"/>
    <numFmt numFmtId="165" formatCode="_ * #,##0_ ;_ * \-#,##0_ ;_ * &quot;-&quot;_ ;_ @_ "/>
    <numFmt numFmtId="166" formatCode="_ * #,##0.00_ ;_ * \-#,##0.00_ ;_ * &quot;-&quot;??_ ;_ @_ "/>
    <numFmt numFmtId="167" formatCode="#,##0.00\ ;&quot; -&quot;#,##0.00\ ;&quot; -&quot;#\ ;@\ "/>
    <numFmt numFmtId="168" formatCode="[$-809]General"/>
    <numFmt numFmtId="169" formatCode="#,##0.00&quot; &quot;;&quot; -&quot;#,##0.00&quot; &quot;;&quot; -&quot;#&quot; &quot;;@&quot; &quot;"/>
    <numFmt numFmtId="170" formatCode="[$£-809]#,##0.00;[Red]&quot;-&quot;[$£-809]#,##0.00"/>
    <numFmt numFmtId="171" formatCode="0.0%"/>
    <numFmt numFmtId="172" formatCode="0.0"/>
    <numFmt numFmtId="173" formatCode="0.000"/>
    <numFmt numFmtId="174" formatCode="#,##0.0"/>
    <numFmt numFmtId="175" formatCode="_ * #,##0.0_ ;_ * \-#,##0.0_ ;_ * &quot;-&quot;??_ ;_ @_ "/>
    <numFmt numFmtId="176" formatCode="0.0000"/>
    <numFmt numFmtId="177" formatCode="0.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_);\(#,##0\);&quot;-&quot;"/>
    <numFmt numFmtId="186" formatCode="#,##0.0_);\(#,##0.0\);&quot;-&quot;;@"/>
    <numFmt numFmtId="187" formatCode="#,##0.000"/>
  </numFmts>
  <fonts count="168">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s>
  <fills count="83">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2">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style="thin">
        <color rgb="FFB2B2B2"/>
      </left>
      <right style="thin">
        <color rgb="FFB2B2B2"/>
      </right>
      <top style="thin">
        <color rgb="FFB2B2B2"/>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0">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6" applyNumberFormat="0" applyAlignment="0" applyProtection="0"/>
    <xf numFmtId="167" fontId="4" fillId="0" borderId="0" applyFill="0" applyBorder="0" applyAlignment="0" applyProtection="0"/>
    <xf numFmtId="167" fontId="4" fillId="0" borderId="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0" fontId="5" fillId="0" borderId="0" applyNumberFormat="0">
      <alignment horizontal="right"/>
    </xf>
    <xf numFmtId="0" fontId="2" fillId="0" borderId="2"/>
    <xf numFmtId="168" fontId="20" fillId="0" borderId="0"/>
    <xf numFmtId="0" fontId="1" fillId="0" borderId="0"/>
    <xf numFmtId="169"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7"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6" applyNumberFormat="0" applyAlignment="0" applyProtection="0"/>
    <xf numFmtId="0" fontId="28" fillId="6" borderId="6"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9"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0" fontId="33" fillId="0" borderId="0"/>
    <xf numFmtId="0" fontId="6" fillId="0" borderId="0"/>
    <xf numFmtId="0" fontId="16" fillId="0" borderId="0"/>
    <xf numFmtId="0" fontId="44" fillId="0" borderId="22" applyNumberFormat="0" applyFill="0" applyAlignment="0" applyProtection="0"/>
    <xf numFmtId="0" fontId="48" fillId="0" borderId="0"/>
    <xf numFmtId="0" fontId="50" fillId="0" borderId="22" applyNumberFormat="0" applyFill="0" applyAlignment="0" applyProtection="0"/>
    <xf numFmtId="179" fontId="51" fillId="0" borderId="0" applyFont="0" applyFill="0" applyBorder="0" applyAlignment="0" applyProtection="0"/>
    <xf numFmtId="0" fontId="16" fillId="0" borderId="0"/>
    <xf numFmtId="0" fontId="48" fillId="0" borderId="0"/>
    <xf numFmtId="0" fontId="2" fillId="39" borderId="27"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54" fillId="41"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0"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7" fontId="2" fillId="59" borderId="28" applyNumberFormat="0" applyFont="0" applyAlignment="0"/>
    <xf numFmtId="177" fontId="2" fillId="60" borderId="29" applyNumberFormat="0" applyFont="0" applyAlignment="0"/>
    <xf numFmtId="177" fontId="2" fillId="60" borderId="29" applyNumberFormat="0" applyFont="0" applyAlignment="0"/>
    <xf numFmtId="177" fontId="2" fillId="60" borderId="29" applyNumberFormat="0" applyFont="0" applyAlignment="0"/>
    <xf numFmtId="177" fontId="2" fillId="60" borderId="29" applyNumberFormat="0" applyFont="0" applyAlignment="0"/>
    <xf numFmtId="177" fontId="2" fillId="60" borderId="29" applyNumberFormat="0" applyFont="0" applyAlignment="0"/>
    <xf numFmtId="180" fontId="17" fillId="4" borderId="0" applyNumberFormat="0" applyBorder="0" applyAlignment="0" applyProtection="0"/>
    <xf numFmtId="170" fontId="17" fillId="61" borderId="0" applyNumberFormat="0" applyBorder="0" applyAlignment="0" applyProtection="0"/>
    <xf numFmtId="170" fontId="60" fillId="62" borderId="0" applyNumberFormat="0" applyBorder="0" applyAlignment="0" applyProtection="0"/>
    <xf numFmtId="170" fontId="60" fillId="62" borderId="0" applyNumberFormat="0" applyBorder="0" applyAlignment="0" applyProtection="0"/>
    <xf numFmtId="170"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0" fontId="17" fillId="4" borderId="0" applyNumberFormat="0" applyBorder="0" applyAlignment="0" applyProtection="0"/>
    <xf numFmtId="170" fontId="60" fillId="41" borderId="0" applyNumberFormat="0" applyBorder="0" applyAlignment="0" applyProtection="0"/>
    <xf numFmtId="170" fontId="60" fillId="41" borderId="0" applyNumberFormat="0" applyBorder="0" applyAlignment="0" applyProtection="0"/>
    <xf numFmtId="170"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10" fillId="64" borderId="27"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170"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0" fontId="65" fillId="0" borderId="0" applyNumberFormat="0" applyFill="0" applyBorder="0" applyAlignment="0" applyProtection="0"/>
    <xf numFmtId="170" fontId="65" fillId="0" borderId="0" applyNumberFormat="0" applyFill="0" applyBorder="0" applyAlignment="0" applyProtection="0"/>
    <xf numFmtId="17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6" applyNumberFormat="0" applyAlignment="0" applyProtection="0"/>
    <xf numFmtId="0" fontId="66" fillId="65" borderId="31" applyNumberFormat="0" applyAlignment="0" applyProtection="0"/>
    <xf numFmtId="0" fontId="66" fillId="65" borderId="31" applyNumberFormat="0" applyAlignment="0" applyProtection="0"/>
    <xf numFmtId="0" fontId="66" fillId="65" borderId="31" applyNumberFormat="0" applyAlignment="0" applyProtection="0"/>
    <xf numFmtId="0" fontId="66" fillId="65" borderId="31" applyNumberFormat="0" applyAlignment="0" applyProtection="0"/>
    <xf numFmtId="0" fontId="67" fillId="65" borderId="31" applyNumberFormat="0" applyAlignment="0" applyProtection="0"/>
    <xf numFmtId="170" fontId="19" fillId="5" borderId="6" applyNumberFormat="0" applyAlignment="0" applyProtection="0"/>
    <xf numFmtId="170" fontId="66" fillId="65" borderId="31" applyNumberFormat="0" applyAlignment="0" applyProtection="0"/>
    <xf numFmtId="170" fontId="66" fillId="65" borderId="31" applyNumberFormat="0" applyAlignment="0" applyProtection="0"/>
    <xf numFmtId="170" fontId="66" fillId="65" borderId="31" applyNumberFormat="0" applyAlignment="0" applyProtection="0"/>
    <xf numFmtId="170" fontId="66" fillId="65" borderId="31" applyNumberFormat="0" applyAlignment="0" applyProtection="0"/>
    <xf numFmtId="170" fontId="67" fillId="65" borderId="31" applyNumberFormat="0" applyAlignment="0" applyProtection="0"/>
    <xf numFmtId="0" fontId="68" fillId="5" borderId="6"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70" fillId="13" borderId="25"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181" fontId="72" fillId="0" borderId="0"/>
    <xf numFmtId="181" fontId="72" fillId="0" borderId="0"/>
    <xf numFmtId="181" fontId="72" fillId="0" borderId="0"/>
    <xf numFmtId="181" fontId="72" fillId="0" borderId="0"/>
    <xf numFmtId="181" fontId="72" fillId="0" borderId="0"/>
    <xf numFmtId="181" fontId="72" fillId="0" borderId="0"/>
    <xf numFmtId="181" fontId="72" fillId="0" borderId="0"/>
    <xf numFmtId="181" fontId="72" fillId="0" borderId="0"/>
    <xf numFmtId="41" fontId="48"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82" fontId="48"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182" fontId="48"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2" fillId="0" borderId="0" applyFont="0" applyFill="0" applyBorder="0" applyAlignment="0" applyProtection="0"/>
    <xf numFmtId="167" fontId="4" fillId="0" borderId="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2" fillId="0" borderId="0" applyFont="0" applyFill="0" applyBorder="0" applyAlignment="0" applyProtection="0"/>
    <xf numFmtId="164" fontId="52" fillId="0" borderId="0" applyFont="0" applyFill="0" applyBorder="0" applyAlignment="0" applyProtection="0"/>
    <xf numFmtId="164" fontId="53" fillId="0" borderId="0" applyFont="0" applyFill="0" applyBorder="0" applyAlignment="0" applyProtection="0"/>
    <xf numFmtId="164" fontId="53" fillId="0" borderId="0" applyFont="0" applyFill="0" applyBorder="0" applyAlignment="0" applyProtection="0"/>
    <xf numFmtId="182" fontId="48"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164" fontId="53" fillId="0" borderId="0" applyFont="0" applyFill="0" applyBorder="0" applyAlignment="0" applyProtection="0"/>
    <xf numFmtId="164" fontId="53"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82" fontId="74" fillId="0" borderId="0" applyFont="0" applyFill="0" applyBorder="0" applyAlignment="0" applyProtection="0">
      <alignment vertical="center"/>
    </xf>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75" fillId="0" borderId="0" applyFont="0" applyFill="0" applyBorder="0" applyAlignment="0" applyProtection="0"/>
    <xf numFmtId="43" fontId="2" fillId="0" borderId="0" applyFont="0" applyFill="0" applyBorder="0" applyAlignment="0" applyProtection="0"/>
    <xf numFmtId="43" fontId="75"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43" fontId="16" fillId="0" borderId="0" applyFont="0" applyFill="0" applyBorder="0" applyAlignment="0" applyProtection="0"/>
    <xf numFmtId="166" fontId="16" fillId="0" borderId="0" applyFont="0" applyFill="0" applyBorder="0" applyAlignment="0" applyProtection="0"/>
    <xf numFmtId="43"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4" fontId="2"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3" fontId="76"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4" fontId="2" fillId="0" borderId="0" applyFont="0" applyFill="0" applyBorder="0" applyAlignment="0" applyProtection="0"/>
    <xf numFmtId="170" fontId="76" fillId="0" borderId="0" applyFont="0" applyFill="0" applyBorder="0" applyAlignment="0" applyProtection="0"/>
    <xf numFmtId="0" fontId="1" fillId="0" borderId="0"/>
    <xf numFmtId="168" fontId="20" fillId="0" borderId="0"/>
    <xf numFmtId="168" fontId="77" fillId="0" borderId="0"/>
    <xf numFmtId="168" fontId="77" fillId="0" borderId="0"/>
    <xf numFmtId="168"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0" fontId="83" fillId="0" borderId="0">
      <protection locked="0"/>
    </xf>
    <xf numFmtId="170" fontId="83" fillId="0" borderId="0">
      <protection locked="0"/>
    </xf>
    <xf numFmtId="170" fontId="84" fillId="0" borderId="0">
      <protection locked="0"/>
    </xf>
    <xf numFmtId="170" fontId="83" fillId="0" borderId="0">
      <protection locked="0"/>
    </xf>
    <xf numFmtId="170" fontId="83" fillId="0" borderId="0">
      <protection locked="0"/>
    </xf>
    <xf numFmtId="170" fontId="83" fillId="0" borderId="0">
      <protection locked="0"/>
    </xf>
    <xf numFmtId="170"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0"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0" fontId="86" fillId="68" borderId="0" applyNumberFormat="0" applyBorder="0" applyAlignment="0" applyProtection="0"/>
    <xf numFmtId="170" fontId="86" fillId="68" borderId="0" applyNumberFormat="0" applyBorder="0" applyAlignment="0" applyProtection="0"/>
    <xf numFmtId="170"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0" fontId="90" fillId="0" borderId="33" applyNumberFormat="0" applyAlignment="0" applyProtection="0">
      <alignment horizontal="left" vertical="center"/>
    </xf>
    <xf numFmtId="170" fontId="90" fillId="0" borderId="33" applyNumberFormat="0" applyAlignment="0" applyProtection="0">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0" fontId="44" fillId="0" borderId="22" applyNumberFormat="0" applyFill="0" applyAlignment="0" applyProtection="0"/>
    <xf numFmtId="170" fontId="91" fillId="0" borderId="35" applyNumberFormat="0" applyFill="0" applyAlignment="0" applyProtection="0"/>
    <xf numFmtId="0" fontId="91"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5" applyNumberFormat="0" applyFill="0" applyAlignment="0" applyProtection="0"/>
    <xf numFmtId="170" fontId="92" fillId="0" borderId="35" applyNumberFormat="0" applyFill="0" applyAlignment="0" applyProtection="0"/>
    <xf numFmtId="170" fontId="92" fillId="0" borderId="35" applyNumberFormat="0" applyFill="0" applyAlignment="0" applyProtection="0"/>
    <xf numFmtId="180" fontId="91" fillId="0" borderId="35" applyNumberFormat="0" applyFill="0" applyAlignment="0" applyProtection="0"/>
    <xf numFmtId="180" fontId="91" fillId="0" borderId="35" applyNumberFormat="0" applyFill="0" applyAlignment="0" applyProtection="0"/>
    <xf numFmtId="180" fontId="91" fillId="0" borderId="35" applyNumberFormat="0" applyFill="0" applyAlignment="0" applyProtection="0"/>
    <xf numFmtId="180" fontId="91" fillId="0" borderId="35" applyNumberFormat="0" applyFill="0" applyAlignment="0" applyProtection="0"/>
    <xf numFmtId="180" fontId="91" fillId="0" borderId="35" applyNumberFormat="0" applyFill="0" applyAlignment="0" applyProtection="0"/>
    <xf numFmtId="170" fontId="93" fillId="0" borderId="35" applyNumberFormat="0" applyFill="0" applyAlignment="0" applyProtection="0"/>
    <xf numFmtId="170" fontId="44" fillId="0" borderId="22"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5" applyNumberFormat="0" applyFill="0" applyAlignment="0" applyProtection="0"/>
    <xf numFmtId="170" fontId="92" fillId="0" borderId="35" applyNumberFormat="0" applyFill="0" applyAlignment="0" applyProtection="0"/>
    <xf numFmtId="170" fontId="92" fillId="0" borderId="35" applyNumberFormat="0" applyFill="0" applyAlignment="0" applyProtection="0"/>
    <xf numFmtId="170" fontId="93"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44" fillId="0" borderId="22" applyNumberFormat="0" applyFill="0" applyAlignment="0" applyProtection="0"/>
    <xf numFmtId="0" fontId="44" fillId="0" borderId="22" applyNumberFormat="0" applyFill="0" applyAlignment="0" applyProtection="0"/>
    <xf numFmtId="0" fontId="44" fillId="0" borderId="22" applyNumberFormat="0" applyFill="0" applyAlignment="0" applyProtection="0"/>
    <xf numFmtId="0" fontId="25" fillId="0" borderId="7" applyNumberFormat="0" applyFill="0" applyAlignment="0" applyProtection="0"/>
    <xf numFmtId="0" fontId="95" fillId="0" borderId="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180" fontId="95" fillId="0" borderId="7" applyNumberFormat="0" applyFill="0" applyAlignment="0" applyProtection="0"/>
    <xf numFmtId="180" fontId="95" fillId="0" borderId="7" applyNumberFormat="0" applyFill="0" applyAlignment="0" applyProtection="0"/>
    <xf numFmtId="180" fontId="95" fillId="0" borderId="7" applyNumberFormat="0" applyFill="0" applyAlignment="0" applyProtection="0"/>
    <xf numFmtId="180" fontId="95" fillId="0" borderId="7" applyNumberFormat="0" applyFill="0" applyAlignment="0" applyProtection="0"/>
    <xf numFmtId="180" fontId="95" fillId="0" borderId="7" applyNumberFormat="0" applyFill="0" applyAlignment="0" applyProtection="0"/>
    <xf numFmtId="0" fontId="97" fillId="0" borderId="36" applyNumberFormat="0" applyFill="0" applyAlignment="0" applyProtection="0"/>
    <xf numFmtId="170" fontId="25" fillId="0" borderId="7" applyNumberFormat="0" applyFill="0" applyAlignment="0" applyProtection="0"/>
    <xf numFmtId="170" fontId="96" fillId="0" borderId="36" applyNumberFormat="0" applyFill="0" applyAlignment="0" applyProtection="0"/>
    <xf numFmtId="170" fontId="96" fillId="0" borderId="36" applyNumberFormat="0" applyFill="0" applyAlignment="0" applyProtection="0"/>
    <xf numFmtId="170" fontId="97" fillId="0" borderId="36" applyNumberFormat="0" applyFill="0" applyAlignment="0" applyProtection="0"/>
    <xf numFmtId="0" fontId="98" fillId="0" borderId="7"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2" fillId="0" borderId="37" applyNumberFormat="0" applyFill="0" applyAlignment="0" applyProtection="0"/>
    <xf numFmtId="0" fontId="12" fillId="0" borderId="37" applyNumberFormat="0" applyFill="0" applyAlignment="0" applyProtection="0"/>
    <xf numFmtId="0" fontId="100" fillId="0" borderId="37" applyNumberFormat="0" applyFill="0" applyAlignment="0" applyProtection="0"/>
    <xf numFmtId="170" fontId="26" fillId="0" borderId="8" applyNumberFormat="0" applyFill="0" applyAlignment="0" applyProtection="0"/>
    <xf numFmtId="170" fontId="12" fillId="0" borderId="37" applyNumberFormat="0" applyFill="0" applyAlignment="0" applyProtection="0"/>
    <xf numFmtId="170" fontId="12" fillId="0" borderId="37" applyNumberFormat="0" applyFill="0" applyAlignment="0" applyProtection="0"/>
    <xf numFmtId="170" fontId="100" fillId="0" borderId="37" applyNumberFormat="0" applyFill="0" applyAlignment="0" applyProtection="0"/>
    <xf numFmtId="0" fontId="101" fillId="0" borderId="8"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0"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0" fontId="28" fillId="6" borderId="6" applyNumberFormat="0" applyAlignment="0" applyProtection="0"/>
    <xf numFmtId="170" fontId="28" fillId="69" borderId="6" applyNumberFormat="0" applyAlignment="0" applyProtection="0"/>
    <xf numFmtId="170" fontId="113" fillId="46" borderId="31" applyNumberFormat="0" applyAlignment="0" applyProtection="0"/>
    <xf numFmtId="170" fontId="113" fillId="46" borderId="31" applyNumberFormat="0" applyAlignment="0" applyProtection="0"/>
    <xf numFmtId="170" fontId="113" fillId="46" borderId="31" applyNumberFormat="0" applyAlignment="0" applyProtection="0"/>
    <xf numFmtId="170" fontId="113" fillId="46" borderId="31" applyNumberFormat="0" applyAlignment="0" applyProtection="0"/>
    <xf numFmtId="170" fontId="114" fillId="46" borderId="31" applyNumberFormat="0" applyAlignment="0" applyProtection="0"/>
    <xf numFmtId="0" fontId="28" fillId="6" borderId="6"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4"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180" fontId="28" fillId="6" borderId="6" applyNumberFormat="0" applyAlignment="0" applyProtection="0"/>
    <xf numFmtId="180" fontId="28" fillId="6" borderId="6" applyNumberFormat="0" applyAlignment="0" applyProtection="0"/>
    <xf numFmtId="180" fontId="28" fillId="6" borderId="6" applyNumberFormat="0" applyAlignment="0" applyProtection="0"/>
    <xf numFmtId="180" fontId="28" fillId="6" borderId="6" applyNumberFormat="0" applyAlignment="0" applyProtection="0"/>
    <xf numFmtId="0" fontId="114" fillId="45" borderId="31" applyNumberFormat="0" applyAlignment="0" applyProtection="0"/>
    <xf numFmtId="170" fontId="28" fillId="6" borderId="6" applyNumberFormat="0" applyAlignment="0" applyProtection="0"/>
    <xf numFmtId="0" fontId="28" fillId="6" borderId="6" applyNumberFormat="0" applyAlignment="0" applyProtection="0"/>
    <xf numFmtId="170" fontId="113" fillId="45" borderId="31" applyNumberFormat="0" applyAlignment="0" applyProtection="0"/>
    <xf numFmtId="170" fontId="113" fillId="45" borderId="31" applyNumberFormat="0" applyAlignment="0" applyProtection="0"/>
    <xf numFmtId="170" fontId="113" fillId="45" borderId="31" applyNumberFormat="0" applyAlignment="0" applyProtection="0"/>
    <xf numFmtId="170" fontId="113" fillId="45" borderId="31"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170" fontId="114" fillId="45" borderId="31" applyNumberFormat="0" applyAlignment="0" applyProtection="0"/>
    <xf numFmtId="0" fontId="115" fillId="6" borderId="6"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2" fillId="70" borderId="38" applyNumberFormat="0" applyFont="0" applyAlignment="0"/>
    <xf numFmtId="0" fontId="2" fillId="71" borderId="38"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185" fontId="2" fillId="49" borderId="0" applyNumberFormat="0" applyFont="0" applyBorder="0" applyAlignment="0" applyProtection="0"/>
    <xf numFmtId="170"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0" fontId="117" fillId="0" borderId="0" applyNumberFormat="0" applyFill="0" applyBorder="0" applyAlignment="0" applyProtection="0"/>
    <xf numFmtId="170" fontId="117" fillId="0" borderId="0" applyNumberFormat="0" applyFill="0" applyBorder="0" applyAlignment="0" applyProtection="0"/>
    <xf numFmtId="17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4"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0" fontId="30" fillId="7" borderId="0" applyNumberFormat="0" applyBorder="0" applyAlignment="0" applyProtection="0"/>
    <xf numFmtId="170" fontId="120" fillId="73" borderId="0" applyNumberFormat="0" applyBorder="0" applyAlignment="0" applyProtection="0"/>
    <xf numFmtId="170" fontId="120" fillId="73" borderId="0" applyNumberFormat="0" applyBorder="0" applyAlignment="0" applyProtection="0"/>
    <xf numFmtId="170"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8"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0"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0" fontId="2" fillId="0" borderId="0"/>
    <xf numFmtId="180" fontId="2" fillId="0" borderId="0"/>
    <xf numFmtId="180" fontId="2" fillId="0" borderId="0"/>
    <xf numFmtId="180"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0" fontId="2" fillId="0" borderId="0"/>
    <xf numFmtId="0" fontId="126" fillId="0" borderId="0"/>
    <xf numFmtId="0" fontId="126" fillId="0" borderId="0"/>
    <xf numFmtId="0" fontId="126" fillId="0" borderId="0"/>
    <xf numFmtId="0" fontId="1" fillId="0" borderId="0"/>
    <xf numFmtId="0" fontId="127" fillId="0" borderId="0">
      <alignment vertical="center"/>
    </xf>
    <xf numFmtId="170" fontId="127" fillId="0" borderId="0">
      <alignment vertical="center"/>
    </xf>
    <xf numFmtId="170" fontId="2" fillId="0" borderId="0"/>
    <xf numFmtId="0" fontId="31" fillId="0" borderId="0"/>
    <xf numFmtId="0" fontId="31" fillId="0" borderId="0"/>
    <xf numFmtId="17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0"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0" fontId="16" fillId="0" borderId="0"/>
    <xf numFmtId="18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0" fontId="48" fillId="0" borderId="0"/>
    <xf numFmtId="0" fontId="16" fillId="0" borderId="0"/>
    <xf numFmtId="0" fontId="16" fillId="0" borderId="0"/>
    <xf numFmtId="0" fontId="16" fillId="0" borderId="0"/>
    <xf numFmtId="0" fontId="16" fillId="0" borderId="0"/>
    <xf numFmtId="0" fontId="16" fillId="0" borderId="0"/>
    <xf numFmtId="180"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0" fontId="16" fillId="0" borderId="0"/>
    <xf numFmtId="170"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0" fontId="16" fillId="0" borderId="0"/>
    <xf numFmtId="180"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0" fontId="16" fillId="0" borderId="0"/>
    <xf numFmtId="180" fontId="16" fillId="0" borderId="0"/>
    <xf numFmtId="180" fontId="16" fillId="0" borderId="0"/>
    <xf numFmtId="0" fontId="53" fillId="0" borderId="0"/>
    <xf numFmtId="17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0" fontId="16" fillId="0" borderId="0"/>
    <xf numFmtId="170" fontId="16" fillId="0" borderId="0"/>
    <xf numFmtId="17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0"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16" fillId="0" borderId="0"/>
    <xf numFmtId="0" fontId="16" fillId="0" borderId="0"/>
    <xf numFmtId="0" fontId="16" fillId="0" borderId="0"/>
    <xf numFmtId="0" fontId="16" fillId="0" borderId="0"/>
    <xf numFmtId="0" fontId="54" fillId="0" borderId="0"/>
    <xf numFmtId="170" fontId="16" fillId="8" borderId="9"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75" fillId="74" borderId="41"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54" fillId="74" borderId="41" applyNumberFormat="0" applyFont="0" applyAlignment="0" applyProtection="0"/>
    <xf numFmtId="0" fontId="16" fillId="8" borderId="9" applyNumberFormat="0" applyFont="0" applyAlignment="0" applyProtection="0"/>
    <xf numFmtId="0" fontId="52" fillId="8" borderId="9" applyNumberFormat="0" applyFont="0" applyAlignment="0" applyProtection="0"/>
    <xf numFmtId="0" fontId="2" fillId="8" borderId="9"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1" fillId="8" borderId="9"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75" fillId="74" borderId="41"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186" fontId="131" fillId="0" borderId="0" applyNumberFormat="0" applyFill="0" applyBorder="0" applyAlignment="0" applyProtection="0"/>
    <xf numFmtId="0" fontId="132" fillId="0" borderId="0" applyNumberFormat="0" applyFill="0" applyBorder="0" applyAlignment="0" applyProtection="0">
      <alignment vertical="center"/>
    </xf>
    <xf numFmtId="170" fontId="132" fillId="0" borderId="0" applyNumberFormat="0" applyFill="0" applyBorder="0" applyAlignment="0" applyProtection="0">
      <alignment vertical="center"/>
    </xf>
    <xf numFmtId="186" fontId="133" fillId="0" borderId="0" applyNumberFormat="0" applyFill="0" applyBorder="0" applyAlignment="0" applyProtection="0"/>
    <xf numFmtId="186" fontId="133" fillId="0" borderId="0" applyNumberFormat="0" applyFill="0" applyBorder="0" applyAlignment="0" applyProtection="0"/>
    <xf numFmtId="186" fontId="134" fillId="0" borderId="0" applyNumberFormat="0" applyFill="0" applyBorder="0" applyAlignment="0" applyProtection="0"/>
    <xf numFmtId="170" fontId="46" fillId="5" borderId="23" applyNumberFormat="0" applyAlignment="0" applyProtection="0"/>
    <xf numFmtId="0" fontId="46" fillId="5" borderId="23" applyNumberFormat="0" applyAlignment="0" applyProtection="0"/>
    <xf numFmtId="0" fontId="135" fillId="65" borderId="42" applyNumberFormat="0" applyAlignment="0" applyProtection="0"/>
    <xf numFmtId="0" fontId="135" fillId="65" borderId="42" applyNumberFormat="0" applyAlignment="0" applyProtection="0"/>
    <xf numFmtId="0" fontId="135" fillId="65" borderId="42" applyNumberFormat="0" applyAlignment="0" applyProtection="0"/>
    <xf numFmtId="0" fontId="135" fillId="65" borderId="42" applyNumberFormat="0" applyAlignment="0" applyProtection="0"/>
    <xf numFmtId="0" fontId="136" fillId="65" borderId="42" applyNumberFormat="0" applyAlignment="0" applyProtection="0"/>
    <xf numFmtId="170" fontId="135" fillId="65" borderId="42" applyNumberFormat="0" applyAlignment="0" applyProtection="0"/>
    <xf numFmtId="170" fontId="135" fillId="65" borderId="42" applyNumberFormat="0" applyAlignment="0" applyProtection="0"/>
    <xf numFmtId="170" fontId="135" fillId="65" borderId="42" applyNumberFormat="0" applyAlignment="0" applyProtection="0"/>
    <xf numFmtId="170" fontId="135" fillId="65" borderId="42" applyNumberFormat="0" applyAlignment="0" applyProtection="0"/>
    <xf numFmtId="170" fontId="136" fillId="65" borderId="42" applyNumberFormat="0" applyAlignment="0" applyProtection="0"/>
    <xf numFmtId="0" fontId="137" fillId="5" borderId="23"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9"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9" fontId="139" fillId="0" borderId="0" applyFont="0" applyFill="0" applyBorder="0" applyAlignment="0" applyProtection="0"/>
    <xf numFmtId="179"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79" fontId="74" fillId="0" borderId="0" applyFont="0" applyFill="0" applyBorder="0" applyAlignment="0" applyProtection="0">
      <alignment vertical="center"/>
    </xf>
    <xf numFmtId="179" fontId="139" fillId="0" borderId="0" applyFont="0" applyFill="0" applyBorder="0" applyAlignment="0" applyProtection="0"/>
    <xf numFmtId="179" fontId="139" fillId="0" borderId="0" applyFont="0" applyFill="0" applyBorder="0" applyAlignment="0" applyProtection="0"/>
    <xf numFmtId="179"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9"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0" fontId="140" fillId="0" borderId="0"/>
    <xf numFmtId="170" fontId="140" fillId="0" borderId="0"/>
    <xf numFmtId="170" fontId="140" fillId="0" borderId="0"/>
    <xf numFmtId="170"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3" applyNumberFormat="0">
      <alignment horizontal="left" vertical="center"/>
    </xf>
    <xf numFmtId="0" fontId="144" fillId="0" borderId="0" applyNumberFormat="0" applyFill="0" applyBorder="0" applyAlignment="0" applyProtection="0">
      <alignment vertical="center"/>
    </xf>
    <xf numFmtId="0" fontId="145" fillId="0" borderId="26"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170"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0" fontId="150" fillId="0" borderId="0">
      <alignment vertical="center"/>
    </xf>
    <xf numFmtId="170" fontId="151" fillId="0" borderId="0"/>
    <xf numFmtId="166"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6" fontId="2" fillId="0" borderId="0" applyFont="0" applyFill="0" applyBorder="0" applyAlignment="0" applyProtection="0"/>
    <xf numFmtId="177" fontId="2" fillId="60" borderId="54" applyNumberFormat="0" applyFont="0" applyAlignment="0"/>
    <xf numFmtId="177" fontId="2" fillId="60" borderId="54" applyNumberFormat="0" applyFont="0" applyAlignment="0"/>
    <xf numFmtId="177" fontId="2" fillId="60" borderId="54" applyNumberFormat="0" applyFont="0" applyAlignment="0"/>
    <xf numFmtId="0" fontId="2" fillId="63" borderId="55" applyNumberFormat="0" applyFont="0" applyAlignment="0"/>
    <xf numFmtId="0" fontId="2" fillId="63" borderId="55" applyNumberFormat="0" applyFont="0" applyAlignment="0"/>
    <xf numFmtId="0" fontId="2" fillId="63" borderId="55" applyNumberFormat="0" applyFont="0" applyAlignment="0"/>
    <xf numFmtId="0" fontId="10" fillId="63" borderId="55" applyNumberFormat="0" applyFont="0" applyAlignment="0"/>
    <xf numFmtId="0" fontId="10" fillId="63" borderId="55" applyNumberFormat="0" applyFont="0" applyAlignment="0"/>
    <xf numFmtId="0" fontId="10" fillId="63" borderId="55" applyNumberFormat="0" applyFont="0" applyAlignment="0"/>
    <xf numFmtId="0" fontId="66" fillId="65" borderId="56" applyNumberFormat="0" applyAlignment="0" applyProtection="0"/>
    <xf numFmtId="0" fontId="66" fillId="65" borderId="56" applyNumberFormat="0" applyAlignment="0" applyProtection="0"/>
    <xf numFmtId="0" fontId="66" fillId="65" borderId="56" applyNumberFormat="0" applyAlignment="0" applyProtection="0"/>
    <xf numFmtId="170" fontId="66" fillId="65" borderId="56" applyNumberFormat="0" applyAlignment="0" applyProtection="0"/>
    <xf numFmtId="170" fontId="66" fillId="65" borderId="56" applyNumberFormat="0" applyAlignment="0" applyProtection="0"/>
    <xf numFmtId="170" fontId="66"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165" fontId="48" fillId="0" borderId="0" applyFont="0" applyFill="0" applyBorder="0" applyAlignment="0" applyProtection="0"/>
    <xf numFmtId="165" fontId="73" fillId="0" borderId="0" applyFont="0" applyFill="0" applyBorder="0" applyAlignment="0" applyProtection="0"/>
    <xf numFmtId="165" fontId="73"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2"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75" fillId="0" borderId="0" applyFont="0" applyFill="0" applyBorder="0" applyAlignment="0" applyProtection="0"/>
    <xf numFmtId="166" fontId="2" fillId="0" borderId="0" applyFont="0" applyFill="0" applyBorder="0" applyAlignment="0" applyProtection="0"/>
    <xf numFmtId="166" fontId="75" fillId="0" borderId="0" applyFont="0" applyFill="0" applyBorder="0" applyAlignment="0" applyProtection="0"/>
    <xf numFmtId="166"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170" fontId="113" fillId="45" borderId="53" applyNumberFormat="0" applyAlignment="0" applyProtection="0"/>
    <xf numFmtId="170" fontId="113" fillId="45" borderId="53" applyNumberFormat="0" applyAlignment="0" applyProtection="0"/>
    <xf numFmtId="17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170" fontId="113" fillId="46" borderId="53" applyNumberFormat="0" applyAlignment="0" applyProtection="0"/>
    <xf numFmtId="170" fontId="113" fillId="46" borderId="53" applyNumberFormat="0" applyAlignment="0" applyProtection="0"/>
    <xf numFmtId="170" fontId="113" fillId="46" borderId="53" applyNumberFormat="0" applyAlignment="0" applyProtection="0"/>
    <xf numFmtId="170" fontId="113" fillId="46" borderId="56" applyNumberFormat="0" applyAlignment="0" applyProtection="0"/>
    <xf numFmtId="170" fontId="113" fillId="46" borderId="56" applyNumberFormat="0" applyAlignment="0" applyProtection="0"/>
    <xf numFmtId="170" fontId="113" fillId="46"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170" fontId="113" fillId="45" borderId="56" applyNumberFormat="0" applyAlignment="0" applyProtection="0"/>
    <xf numFmtId="170" fontId="113" fillId="45" borderId="56" applyNumberFormat="0" applyAlignment="0" applyProtection="0"/>
    <xf numFmtId="170" fontId="113"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2" fillId="72" borderId="57" applyNumberFormat="0" applyFont="0" applyAlignment="0"/>
    <xf numFmtId="0" fontId="2" fillId="72" borderId="57" applyNumberFormat="0" applyFont="0" applyAlignment="0"/>
    <xf numFmtId="0" fontId="2" fillId="72" borderId="57" applyNumberFormat="0" applyFont="0" applyAlignment="0"/>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0" fontId="2" fillId="74" borderId="58" applyNumberFormat="0" applyFont="0" applyAlignment="0" applyProtection="0"/>
    <xf numFmtId="0" fontId="2" fillId="74" borderId="58" applyNumberFormat="0" applyFont="0" applyAlignment="0" applyProtection="0"/>
    <xf numFmtId="0" fontId="2" fillId="74" borderId="58" applyNumberFormat="0" applyFont="0" applyAlignment="0" applyProtection="0"/>
    <xf numFmtId="0" fontId="1" fillId="74" borderId="58" applyNumberFormat="0" applyFont="0" applyAlignment="0" applyProtection="0"/>
    <xf numFmtId="0" fontId="1" fillId="74" borderId="58" applyNumberFormat="0" applyFont="0" applyAlignment="0" applyProtection="0"/>
    <xf numFmtId="0" fontId="1"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135" fillId="65" borderId="59" applyNumberFormat="0" applyAlignment="0" applyProtection="0"/>
    <xf numFmtId="0" fontId="135" fillId="65" borderId="59" applyNumberFormat="0" applyAlignment="0" applyProtection="0"/>
    <xf numFmtId="0" fontId="135" fillId="65" borderId="59" applyNumberFormat="0" applyAlignment="0" applyProtection="0"/>
    <xf numFmtId="170" fontId="135" fillId="65" borderId="59" applyNumberFormat="0" applyAlignment="0" applyProtection="0"/>
    <xf numFmtId="170" fontId="135" fillId="65" borderId="59" applyNumberFormat="0" applyAlignment="0" applyProtection="0"/>
    <xf numFmtId="170" fontId="135"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170" fontId="66" fillId="65" borderId="53" applyNumberFormat="0" applyAlignment="0" applyProtection="0"/>
    <xf numFmtId="170" fontId="66" fillId="65" borderId="53" applyNumberFormat="0" applyAlignment="0" applyProtection="0"/>
    <xf numFmtId="170" fontId="66" fillId="65" borderId="53" applyNumberFormat="0" applyAlignment="0" applyProtection="0"/>
    <xf numFmtId="0" fontId="66" fillId="65" borderId="53" applyNumberFormat="0" applyAlignment="0" applyProtection="0"/>
    <xf numFmtId="0" fontId="66" fillId="65" borderId="53" applyNumberFormat="0" applyAlignment="0" applyProtection="0"/>
    <xf numFmtId="0" fontId="66" fillId="65" borderId="53" applyNumberFormat="0" applyAlignment="0" applyProtection="0"/>
    <xf numFmtId="0" fontId="10" fillId="63" borderId="52" applyNumberFormat="0" applyFont="0" applyAlignment="0"/>
    <xf numFmtId="0" fontId="10" fillId="63" borderId="52" applyNumberFormat="0" applyFont="0" applyAlignment="0"/>
    <xf numFmtId="0" fontId="10" fillId="63" borderId="52" applyNumberFormat="0" applyFont="0" applyAlignment="0"/>
    <xf numFmtId="0" fontId="2" fillId="63" borderId="52" applyNumberFormat="0" applyFont="0" applyAlignment="0"/>
    <xf numFmtId="0" fontId="2" fillId="63" borderId="52" applyNumberFormat="0" applyFont="0" applyAlignment="0"/>
    <xf numFmtId="0" fontId="2" fillId="63" borderId="52" applyNumberFormat="0" applyFont="0" applyAlignment="0"/>
    <xf numFmtId="177" fontId="2" fillId="60" borderId="51" applyNumberFormat="0" applyFont="0" applyAlignment="0"/>
    <xf numFmtId="177" fontId="2" fillId="60" borderId="51" applyNumberFormat="0" applyFont="0" applyAlignment="0"/>
    <xf numFmtId="177" fontId="2" fillId="60" borderId="51" applyNumberFormat="0" applyFont="0" applyAlignment="0"/>
    <xf numFmtId="166" fontId="16" fillId="0" borderId="0" applyFont="0" applyFill="0" applyBorder="0" applyAlignment="0" applyProtection="0"/>
    <xf numFmtId="166" fontId="16" fillId="0" borderId="0" applyFont="0" applyFill="0" applyBorder="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166"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6" fontId="51" fillId="0" borderId="0" applyFont="0" applyFill="0" applyBorder="0" applyAlignment="0" applyProtection="0"/>
    <xf numFmtId="0" fontId="32" fillId="0" borderId="0"/>
    <xf numFmtId="0" fontId="164" fillId="0" borderId="0"/>
  </cellStyleXfs>
  <cellXfs count="307">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2" fontId="0" fillId="0" borderId="0" xfId="0" applyNumberFormat="1"/>
    <xf numFmtId="3" fontId="0" fillId="0" borderId="0" xfId="0" applyNumberFormat="1"/>
    <xf numFmtId="0" fontId="17" fillId="4" borderId="0" xfId="3"/>
    <xf numFmtId="2" fontId="0" fillId="0" borderId="0" xfId="0" applyNumberFormat="1" applyBorder="1"/>
    <xf numFmtId="0" fontId="26" fillId="0" borderId="8"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8"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3"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6"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1" fontId="0" fillId="0" borderId="0" xfId="0" applyNumberFormat="1"/>
    <xf numFmtId="9" fontId="28" fillId="6" borderId="6" xfId="27" applyNumberFormat="1"/>
    <xf numFmtId="0" fontId="0" fillId="0" borderId="0" xfId="0" quotePrefix="1"/>
    <xf numFmtId="174" fontId="0" fillId="0" borderId="0" xfId="0" applyNumberFormat="1"/>
    <xf numFmtId="0" fontId="25" fillId="0" borderId="7" xfId="20"/>
    <xf numFmtId="0" fontId="26" fillId="0" borderId="0" xfId="23"/>
    <xf numFmtId="11" fontId="0" fillId="0" borderId="4" xfId="0" applyNumberFormat="1" applyBorder="1"/>
    <xf numFmtId="0" fontId="0" fillId="0" borderId="4" xfId="0" applyBorder="1"/>
    <xf numFmtId="166" fontId="2" fillId="0" borderId="4" xfId="11" applyNumberFormat="1" applyFill="1" applyBorder="1"/>
    <xf numFmtId="2" fontId="0" fillId="0" borderId="4" xfId="0" applyNumberFormat="1" applyBorder="1"/>
    <xf numFmtId="172" fontId="0" fillId="0" borderId="4" xfId="0" applyNumberFormat="1" applyBorder="1"/>
    <xf numFmtId="0" fontId="10" fillId="0" borderId="0" xfId="33" applyFont="1" applyFill="1"/>
    <xf numFmtId="2" fontId="10" fillId="0" borderId="0" xfId="33" applyNumberFormat="1" applyFont="1" applyFill="1"/>
    <xf numFmtId="2" fontId="28" fillId="6" borderId="6" xfId="27" applyNumberFormat="1"/>
    <xf numFmtId="0" fontId="28" fillId="6" borderId="6" xfId="27"/>
    <xf numFmtId="172" fontId="34" fillId="0" borderId="0" xfId="0" applyNumberFormat="1" applyFont="1"/>
    <xf numFmtId="171" fontId="28" fillId="6" borderId="6" xfId="27" applyNumberFormat="1"/>
    <xf numFmtId="2" fontId="28" fillId="8" borderId="9" xfId="44" applyNumberFormat="1" applyFont="1"/>
    <xf numFmtId="172" fontId="19" fillId="5" borderId="6" xfId="6" applyNumberFormat="1"/>
    <xf numFmtId="2" fontId="19" fillId="5" borderId="6" xfId="6" applyNumberFormat="1"/>
    <xf numFmtId="174"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8" xfId="21" applyAlignment="1"/>
    <xf numFmtId="2" fontId="38" fillId="0" borderId="0" xfId="0" applyNumberFormat="1" applyFont="1"/>
    <xf numFmtId="2" fontId="16" fillId="8" borderId="9" xfId="44" applyNumberFormat="1" applyFont="1"/>
    <xf numFmtId="171" fontId="16" fillId="0" borderId="0" xfId="45" applyNumberFormat="1" applyFont="1"/>
    <xf numFmtId="1" fontId="28" fillId="6" borderId="6" xfId="27" applyNumberFormat="1"/>
    <xf numFmtId="2" fontId="28" fillId="0" borderId="6" xfId="27" applyNumberFormat="1" applyFill="1"/>
    <xf numFmtId="9" fontId="28" fillId="0" borderId="6" xfId="27" applyNumberFormat="1" applyFill="1"/>
    <xf numFmtId="9" fontId="16" fillId="0" borderId="4" xfId="45" applyNumberFormat="1" applyFont="1" applyBorder="1"/>
    <xf numFmtId="172" fontId="0" fillId="0" borderId="0" xfId="0" applyNumberFormat="1" applyBorder="1"/>
    <xf numFmtId="0" fontId="26" fillId="0" borderId="8" xfId="21" applyAlignment="1">
      <alignment horizontal="left"/>
    </xf>
    <xf numFmtId="0" fontId="25" fillId="0" borderId="7" xfId="20" applyAlignment="1">
      <alignment horizontal="left"/>
    </xf>
    <xf numFmtId="9" fontId="16" fillId="0" borderId="0" xfId="45" applyFont="1"/>
    <xf numFmtId="1" fontId="28" fillId="8" borderId="9" xfId="44" applyNumberFormat="1" applyFont="1"/>
    <xf numFmtId="9" fontId="28" fillId="8" borderId="9" xfId="45" applyFont="1" applyFill="1" applyBorder="1"/>
    <xf numFmtId="9" fontId="28" fillId="6" borderId="6" xfId="45" applyFont="1" applyFill="1" applyBorder="1"/>
    <xf numFmtId="0" fontId="26" fillId="0" borderId="0" xfId="21" applyBorder="1" applyAlignment="1">
      <alignment horizontal="left"/>
    </xf>
    <xf numFmtId="173" fontId="28" fillId="8" borderId="9" xfId="44" applyNumberFormat="1" applyFont="1"/>
    <xf numFmtId="9" fontId="35" fillId="6" borderId="6" xfId="27" applyNumberFormat="1" applyFont="1"/>
    <xf numFmtId="2" fontId="35" fillId="6" borderId="6" xfId="27" applyNumberFormat="1" applyFont="1"/>
    <xf numFmtId="171" fontId="35" fillId="6" borderId="6" xfId="27" applyNumberFormat="1" applyFont="1"/>
    <xf numFmtId="172" fontId="28" fillId="0" borderId="6" xfId="27" applyNumberFormat="1" applyFill="1"/>
    <xf numFmtId="1" fontId="28" fillId="0" borderId="6" xfId="27" applyNumberFormat="1" applyFill="1"/>
    <xf numFmtId="0" fontId="0" fillId="0" borderId="0" xfId="0" applyFill="1"/>
    <xf numFmtId="0" fontId="35" fillId="6" borderId="6" xfId="27" applyFont="1"/>
    <xf numFmtId="9" fontId="35" fillId="6" borderId="6" xfId="45" applyFont="1" applyFill="1" applyBorder="1"/>
    <xf numFmtId="172" fontId="35" fillId="6" borderId="6" xfId="27" applyNumberFormat="1" applyFont="1"/>
    <xf numFmtId="2" fontId="41" fillId="0" borderId="6" xfId="27" applyNumberFormat="1" applyFont="1" applyFill="1"/>
    <xf numFmtId="1" fontId="34" fillId="0" borderId="0" xfId="0" applyNumberFormat="1" applyFont="1"/>
    <xf numFmtId="0" fontId="26" fillId="0" borderId="8"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8" xfId="22" applyAlignment="1">
      <alignment horizontal="left"/>
    </xf>
    <xf numFmtId="0" fontId="26" fillId="0" borderId="8"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0" borderId="4" xfId="31" applyFont="1" applyFill="1" applyBorder="1"/>
    <xf numFmtId="0" fontId="16" fillId="0" borderId="0" xfId="31" applyFont="1"/>
    <xf numFmtId="0" fontId="16" fillId="11" borderId="0" xfId="31" applyFill="1"/>
    <xf numFmtId="9" fontId="16" fillId="11" borderId="0" xfId="31" applyNumberFormat="1" applyFill="1"/>
    <xf numFmtId="172" fontId="16" fillId="0" borderId="0" xfId="31" applyNumberFormat="1"/>
    <xf numFmtId="1" fontId="16" fillId="0" borderId="4" xfId="31" applyNumberFormat="1" applyBorder="1"/>
    <xf numFmtId="1" fontId="16" fillId="0" borderId="0" xfId="31" applyNumberFormat="1"/>
    <xf numFmtId="0" fontId="16" fillId="0" borderId="10" xfId="31" applyBorder="1"/>
    <xf numFmtId="0" fontId="16" fillId="0" borderId="10" xfId="31" applyFill="1" applyBorder="1"/>
    <xf numFmtId="172" fontId="16" fillId="0" borderId="4" xfId="31" applyNumberFormat="1" applyBorder="1"/>
    <xf numFmtId="2" fontId="28" fillId="11" borderId="6" xfId="28" applyNumberFormat="1" applyFill="1"/>
    <xf numFmtId="0" fontId="16" fillId="10" borderId="0" xfId="31" applyFont="1" applyFill="1"/>
    <xf numFmtId="2" fontId="16" fillId="10" borderId="0" xfId="31" applyNumberFormat="1" applyFill="1"/>
    <xf numFmtId="2" fontId="16" fillId="10" borderId="4" xfId="31" applyNumberFormat="1" applyFill="1" applyBorder="1"/>
    <xf numFmtId="2" fontId="16" fillId="0" borderId="0" xfId="31" applyNumberFormat="1" applyBorder="1"/>
    <xf numFmtId="3" fontId="16" fillId="0" borderId="0" xfId="31" applyNumberFormat="1"/>
    <xf numFmtId="0" fontId="42" fillId="0" borderId="8" xfId="22" applyFont="1" applyAlignment="1">
      <alignment horizontal="left"/>
    </xf>
    <xf numFmtId="0" fontId="16" fillId="0" borderId="0" xfId="31" applyBorder="1"/>
    <xf numFmtId="0" fontId="16" fillId="0" borderId="0" xfId="31" applyFill="1" applyBorder="1"/>
    <xf numFmtId="1" fontId="28" fillId="6" borderId="6" xfId="28" applyNumberFormat="1"/>
    <xf numFmtId="1" fontId="16" fillId="0" borderId="0" xfId="31" applyNumberFormat="1" applyBorder="1"/>
    <xf numFmtId="172" fontId="28" fillId="6" borderId="6" xfId="28" applyNumberFormat="1"/>
    <xf numFmtId="173" fontId="16" fillId="0" borderId="0" xfId="31" applyNumberFormat="1"/>
    <xf numFmtId="0" fontId="34" fillId="0" borderId="0" xfId="31" applyFont="1"/>
    <xf numFmtId="0" fontId="16" fillId="0" borderId="5" xfId="31" applyBorder="1"/>
    <xf numFmtId="173" fontId="16" fillId="0" borderId="5" xfId="31" applyNumberFormat="1" applyBorder="1"/>
    <xf numFmtId="2" fontId="28" fillId="6" borderId="6" xfId="28" applyNumberFormat="1"/>
    <xf numFmtId="2" fontId="16" fillId="0" borderId="0" xfId="31" applyNumberFormat="1" applyFont="1"/>
    <xf numFmtId="9" fontId="0" fillId="0" borderId="0" xfId="45" applyFont="1"/>
    <xf numFmtId="171" fontId="0" fillId="0" borderId="0" xfId="45" applyNumberFormat="1" applyFont="1"/>
    <xf numFmtId="0" fontId="43" fillId="4" borderId="0" xfId="3" applyFont="1"/>
    <xf numFmtId="0" fontId="38" fillId="0" borderId="0" xfId="0" applyFont="1" applyAlignment="1">
      <alignment horizontal="center"/>
    </xf>
    <xf numFmtId="172" fontId="34" fillId="0" borderId="0" xfId="0" applyNumberFormat="1" applyFont="1" applyBorder="1"/>
    <xf numFmtId="9" fontId="28" fillId="6" borderId="11" xfId="27" applyNumberFormat="1" applyBorder="1"/>
    <xf numFmtId="174" fontId="16" fillId="8" borderId="9" xfId="44" applyNumberFormat="1" applyFont="1"/>
    <xf numFmtId="0" fontId="0" fillId="0" borderId="12" xfId="0" applyBorder="1"/>
    <xf numFmtId="0" fontId="0" fillId="0" borderId="13" xfId="0" applyFill="1" applyBorder="1"/>
    <xf numFmtId="0" fontId="0" fillId="0" borderId="14" xfId="0" applyBorder="1"/>
    <xf numFmtId="0" fontId="0" fillId="0" borderId="3" xfId="0" applyBorder="1"/>
    <xf numFmtId="0" fontId="9" fillId="0" borderId="13" xfId="33" applyFont="1" applyBorder="1"/>
    <xf numFmtId="0" fontId="9" fillId="0" borderId="16" xfId="33" applyFont="1" applyBorder="1" applyAlignment="1">
      <alignment horizontal="center" wrapText="1"/>
    </xf>
    <xf numFmtId="0" fontId="0" fillId="0" borderId="16" xfId="0" applyFill="1" applyBorder="1"/>
    <xf numFmtId="0" fontId="0" fillId="0" borderId="17" xfId="0" applyBorder="1"/>
    <xf numFmtId="0" fontId="0" fillId="0" borderId="18" xfId="0" applyBorder="1"/>
    <xf numFmtId="0" fontId="38" fillId="0" borderId="0" xfId="0" applyFont="1" applyBorder="1"/>
    <xf numFmtId="0" fontId="39" fillId="0" borderId="0" xfId="0" applyFont="1" applyBorder="1"/>
    <xf numFmtId="0" fontId="38" fillId="0" borderId="17" xfId="0" applyFont="1" applyBorder="1"/>
    <xf numFmtId="0" fontId="39" fillId="0" borderId="3" xfId="0" applyFont="1" applyBorder="1"/>
    <xf numFmtId="0" fontId="38" fillId="0" borderId="18" xfId="0" applyFont="1" applyBorder="1"/>
    <xf numFmtId="176" fontId="0" fillId="0" borderId="0" xfId="0" applyNumberFormat="1"/>
    <xf numFmtId="176" fontId="34" fillId="0" borderId="0" xfId="0" applyNumberFormat="1" applyFont="1"/>
    <xf numFmtId="0" fontId="0" fillId="0" borderId="19" xfId="0" applyBorder="1"/>
    <xf numFmtId="0" fontId="0" fillId="0" borderId="20" xfId="0" applyBorder="1"/>
    <xf numFmtId="0" fontId="0" fillId="0" borderId="21" xfId="0" applyBorder="1"/>
    <xf numFmtId="0" fontId="0" fillId="0" borderId="1" xfId="0" applyBorder="1"/>
    <xf numFmtId="172" fontId="0" fillId="0" borderId="0" xfId="0" quotePrefix="1" applyNumberFormat="1"/>
    <xf numFmtId="2" fontId="38" fillId="0" borderId="17"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1" fontId="28" fillId="0" borderId="6" xfId="27" applyNumberFormat="1" applyFill="1"/>
    <xf numFmtId="10" fontId="28" fillId="0" borderId="6" xfId="27" applyNumberFormat="1" applyFill="1"/>
    <xf numFmtId="171" fontId="0" fillId="0" borderId="4" xfId="0" applyNumberFormat="1" applyBorder="1"/>
    <xf numFmtId="2" fontId="43" fillId="4" borderId="0" xfId="3" applyNumberFormat="1" applyFont="1"/>
    <xf numFmtId="166"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8" xfId="21" applyAlignment="1">
      <alignment horizontal="left"/>
    </xf>
    <xf numFmtId="166" fontId="2" fillId="0" borderId="0" xfId="11" applyNumberFormat="1" applyFill="1" applyBorder="1"/>
    <xf numFmtId="2" fontId="0" fillId="0" borderId="17" xfId="0" applyNumberFormat="1" applyBorder="1"/>
    <xf numFmtId="0" fontId="26" fillId="0" borderId="45" xfId="21" applyBorder="1"/>
    <xf numFmtId="0" fontId="0" fillId="0" borderId="17" xfId="0" applyFill="1" applyBorder="1"/>
    <xf numFmtId="0" fontId="2" fillId="0" borderId="0" xfId="31" applyFont="1" applyFill="1" applyAlignment="1">
      <alignment horizontal="left"/>
    </xf>
    <xf numFmtId="0" fontId="2" fillId="0" borderId="0" xfId="31" applyFont="1" applyFill="1" applyAlignment="1">
      <alignment horizontal="left"/>
    </xf>
    <xf numFmtId="0" fontId="26" fillId="9" borderId="8" xfId="22" applyFill="1" applyAlignment="1">
      <alignment horizontal="left"/>
    </xf>
    <xf numFmtId="0" fontId="26" fillId="9" borderId="8" xfId="22" applyFill="1"/>
    <xf numFmtId="1" fontId="28" fillId="6" borderId="46" xfId="28" applyNumberFormat="1" applyBorder="1"/>
    <xf numFmtId="0" fontId="16" fillId="0" borderId="17" xfId="31" applyBorder="1"/>
    <xf numFmtId="0" fontId="26" fillId="0" borderId="45" xfId="22" applyBorder="1"/>
    <xf numFmtId="0" fontId="16" fillId="0" borderId="47" xfId="31" applyFill="1" applyBorder="1"/>
    <xf numFmtId="2" fontId="28" fillId="6" borderId="48" xfId="28" applyNumberFormat="1" applyBorder="1"/>
    <xf numFmtId="172" fontId="28" fillId="6" borderId="48" xfId="28" applyNumberFormat="1" applyBorder="1"/>
    <xf numFmtId="0" fontId="16" fillId="0" borderId="17" xfId="31" applyFont="1" applyBorder="1"/>
    <xf numFmtId="0" fontId="34" fillId="0" borderId="17" xfId="31" applyFont="1" applyBorder="1"/>
    <xf numFmtId="172" fontId="16" fillId="0" borderId="0" xfId="31" applyNumberFormat="1" applyBorder="1"/>
    <xf numFmtId="0" fontId="152" fillId="0" borderId="8" xfId="22" applyFont="1"/>
    <xf numFmtId="175" fontId="16" fillId="0" borderId="0" xfId="3924" applyNumberFormat="1" applyBorder="1"/>
    <xf numFmtId="0" fontId="34" fillId="0" borderId="5" xfId="31" applyFont="1" applyBorder="1"/>
    <xf numFmtId="0" fontId="16" fillId="0" borderId="34" xfId="31" applyFont="1" applyBorder="1"/>
    <xf numFmtId="0" fontId="26" fillId="0" borderId="17" xfId="22" applyBorder="1"/>
    <xf numFmtId="0" fontId="26" fillId="0" borderId="0" xfId="22" applyBorder="1"/>
    <xf numFmtId="0" fontId="153" fillId="0" borderId="8" xfId="22" applyFont="1"/>
    <xf numFmtId="0" fontId="153" fillId="0" borderId="0" xfId="22" applyFont="1" applyBorder="1" applyAlignment="1">
      <alignment horizontal="left"/>
    </xf>
    <xf numFmtId="172" fontId="34" fillId="0" borderId="34" xfId="31" applyNumberFormat="1" applyFont="1" applyBorder="1"/>
    <xf numFmtId="0" fontId="154" fillId="0" borderId="0" xfId="33" applyFont="1"/>
    <xf numFmtId="0" fontId="16" fillId="0" borderId="3" xfId="31" applyBorder="1"/>
    <xf numFmtId="0" fontId="155" fillId="0" borderId="0" xfId="31" applyFont="1" applyFill="1" applyAlignment="1">
      <alignment horizontal="left"/>
    </xf>
    <xf numFmtId="0" fontId="90" fillId="0" borderId="0" xfId="31" applyFont="1" applyFill="1" applyAlignment="1">
      <alignment horizontal="left"/>
    </xf>
    <xf numFmtId="2" fontId="16" fillId="0" borderId="17" xfId="31" applyNumberFormat="1" applyBorder="1"/>
    <xf numFmtId="0" fontId="153" fillId="0" borderId="8" xfId="22" applyFont="1" applyAlignment="1">
      <alignment horizontal="left"/>
    </xf>
    <xf numFmtId="0" fontId="2" fillId="0" borderId="0" xfId="31" applyFont="1" applyFill="1" applyBorder="1" applyAlignment="1">
      <alignment horizontal="left"/>
    </xf>
    <xf numFmtId="9" fontId="16" fillId="9" borderId="0" xfId="31" applyNumberFormat="1" applyFill="1" applyBorder="1"/>
    <xf numFmtId="1" fontId="34" fillId="0" borderId="0" xfId="31" applyNumberFormat="1" applyFont="1"/>
    <xf numFmtId="1" fontId="41" fillId="6" borderId="6" xfId="28" applyNumberFormat="1" applyFont="1"/>
    <xf numFmtId="1" fontId="41" fillId="6" borderId="46" xfId="28" applyNumberFormat="1" applyFont="1" applyBorder="1"/>
    <xf numFmtId="0" fontId="155" fillId="0" borderId="3" xfId="31" applyFont="1" applyFill="1" applyBorder="1" applyAlignment="1">
      <alignment horizontal="left"/>
    </xf>
    <xf numFmtId="0" fontId="16" fillId="0" borderId="49" xfId="31" applyBorder="1"/>
    <xf numFmtId="0" fontId="16" fillId="0" borderId="17" xfId="31" applyFill="1" applyBorder="1"/>
    <xf numFmtId="1" fontId="16" fillId="0" borderId="17" xfId="31" applyNumberFormat="1" applyBorder="1"/>
    <xf numFmtId="0" fontId="16" fillId="0" borderId="47" xfId="31" applyBorder="1"/>
    <xf numFmtId="1" fontId="34" fillId="75" borderId="0" xfId="31" applyNumberFormat="1" applyFont="1" applyFill="1"/>
    <xf numFmtId="173" fontId="16" fillId="8" borderId="9" xfId="44" applyNumberFormat="1" applyFont="1"/>
    <xf numFmtId="9" fontId="16" fillId="0" borderId="0" xfId="31" applyNumberFormat="1" applyFill="1" applyBorder="1"/>
    <xf numFmtId="9" fontId="16" fillId="0" borderId="0" xfId="45" applyFill="1" applyBorder="1"/>
    <xf numFmtId="9" fontId="16" fillId="0" borderId="17"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6" xfId="27" applyNumberFormat="1" applyFont="1"/>
    <xf numFmtId="9" fontId="0" fillId="10" borderId="0" xfId="0" applyNumberFormat="1" applyFill="1"/>
    <xf numFmtId="0" fontId="40" fillId="76" borderId="6" xfId="30" applyFont="1" applyFill="1" applyBorder="1" applyAlignment="1">
      <alignment horizontal="center"/>
    </xf>
    <xf numFmtId="171"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3" xfId="0" applyBorder="1"/>
    <xf numFmtId="0" fontId="0" fillId="10" borderId="0" xfId="0" applyFill="1"/>
    <xf numFmtId="171" fontId="0" fillId="38" borderId="0" xfId="45" applyNumberFormat="1" applyFont="1" applyFill="1" applyAlignment="1">
      <alignment horizontal="center"/>
    </xf>
    <xf numFmtId="173" fontId="0" fillId="10" borderId="0" xfId="0" applyNumberFormat="1" applyFill="1"/>
    <xf numFmtId="0" fontId="161" fillId="76" borderId="6" xfId="30" applyFont="1" applyFill="1" applyBorder="1" applyAlignment="1">
      <alignment horizontal="center"/>
    </xf>
    <xf numFmtId="0" fontId="162" fillId="7" borderId="6"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2" fontId="28" fillId="8" borderId="9" xfId="44" applyNumberFormat="1" applyFont="1"/>
    <xf numFmtId="1" fontId="0" fillId="10" borderId="0" xfId="45" applyNumberFormat="1" applyFont="1" applyFill="1"/>
    <xf numFmtId="1" fontId="0" fillId="10" borderId="0" xfId="0" applyNumberFormat="1" applyFill="1"/>
    <xf numFmtId="176" fontId="0" fillId="10" borderId="0" xfId="0" applyNumberFormat="1" applyFill="1"/>
    <xf numFmtId="172" fontId="0" fillId="10" borderId="0" xfId="0" applyNumberFormat="1" applyFill="1"/>
    <xf numFmtId="176" fontId="0" fillId="0" borderId="0" xfId="0" applyNumberFormat="1" applyFill="1"/>
    <xf numFmtId="173" fontId="0" fillId="0" borderId="0" xfId="0" applyNumberFormat="1" applyFill="1"/>
    <xf numFmtId="172"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2" fontId="0" fillId="79" borderId="0" xfId="0" applyNumberFormat="1" applyFill="1"/>
    <xf numFmtId="187" fontId="16" fillId="0" borderId="61" xfId="2765" applyNumberFormat="1" applyFont="1" applyBorder="1" applyAlignment="1">
      <alignment vertical="center" wrapText="1"/>
    </xf>
    <xf numFmtId="2" fontId="16" fillId="81" borderId="0" xfId="31" applyNumberFormat="1" applyFill="1"/>
    <xf numFmtId="172" fontId="19" fillId="81" borderId="6" xfId="6" applyNumberFormat="1" applyFill="1"/>
    <xf numFmtId="172" fontId="16" fillId="81" borderId="4" xfId="31" applyNumberFormat="1" applyFill="1" applyBorder="1"/>
    <xf numFmtId="2" fontId="35" fillId="0" borderId="0" xfId="31" applyNumberFormat="1" applyFont="1"/>
    <xf numFmtId="0" fontId="35" fillId="10" borderId="0" xfId="31" applyFont="1" applyFill="1"/>
    <xf numFmtId="0" fontId="35" fillId="10" borderId="10" xfId="31" applyFont="1" applyFill="1" applyBorder="1"/>
    <xf numFmtId="0" fontId="165" fillId="0" borderId="0" xfId="0" applyFont="1"/>
    <xf numFmtId="0" fontId="166" fillId="0" borderId="0" xfId="0" applyFont="1"/>
    <xf numFmtId="172" fontId="165" fillId="0" borderId="0" xfId="0" applyNumberFormat="1" applyFont="1"/>
    <xf numFmtId="2" fontId="165" fillId="0" borderId="0" xfId="0" applyNumberFormat="1" applyFont="1"/>
    <xf numFmtId="0" fontId="26" fillId="0" borderId="8" xfId="21" applyAlignment="1">
      <alignment horizontal="left"/>
    </xf>
    <xf numFmtId="0" fontId="2" fillId="0" borderId="0" xfId="0" applyFont="1" applyAlignment="1">
      <alignment horizontal="left"/>
    </xf>
    <xf numFmtId="2" fontId="16" fillId="0" borderId="0" xfId="45" applyNumberFormat="1"/>
    <xf numFmtId="9" fontId="16" fillId="8" borderId="9" xfId="44" applyNumberFormat="1"/>
    <xf numFmtId="9" fontId="28" fillId="0" borderId="6" xfId="45" applyFont="1" applyBorder="1"/>
    <xf numFmtId="9" fontId="16" fillId="0" borderId="0" xfId="45"/>
    <xf numFmtId="172" fontId="16" fillId="0" borderId="0" xfId="45" applyNumberFormat="1"/>
    <xf numFmtId="1" fontId="16" fillId="0" borderId="9" xfId="44" applyNumberFormat="1" applyFill="1"/>
    <xf numFmtId="2" fontId="16" fillId="8" borderId="9" xfId="44" applyNumberFormat="1"/>
    <xf numFmtId="2" fontId="0" fillId="0" borderId="0" xfId="45" applyNumberFormat="1" applyFont="1"/>
    <xf numFmtId="0" fontId="0" fillId="0" borderId="16" xfId="0" applyBorder="1"/>
    <xf numFmtId="2" fontId="16" fillId="8" borderId="15" xfId="44" applyNumberFormat="1" applyBorder="1"/>
    <xf numFmtId="1" fontId="2" fillId="0" borderId="0" xfId="11" applyNumberFormat="1"/>
    <xf numFmtId="175" fontId="2" fillId="0" borderId="0" xfId="11" applyNumberFormat="1"/>
    <xf numFmtId="9" fontId="16" fillId="0" borderId="4" xfId="45" applyBorder="1"/>
    <xf numFmtId="171" fontId="16" fillId="0" borderId="0" xfId="45" applyNumberFormat="1"/>
    <xf numFmtId="171" fontId="16" fillId="0" borderId="4" xfId="45" applyNumberFormat="1" applyBorder="1"/>
    <xf numFmtId="10" fontId="16" fillId="0" borderId="0" xfId="45" applyNumberFormat="1"/>
    <xf numFmtId="171" fontId="28" fillId="0" borderId="6" xfId="45" applyNumberFormat="1" applyFont="1" applyBorder="1"/>
    <xf numFmtId="0" fontId="16" fillId="8" borderId="9" xfId="44"/>
    <xf numFmtId="0" fontId="28" fillId="0" borderId="6" xfId="27" applyFill="1"/>
    <xf numFmtId="0" fontId="16" fillId="0" borderId="4" xfId="45" applyNumberFormat="1" applyBorder="1"/>
    <xf numFmtId="1" fontId="28" fillId="0" borderId="6" xfId="45" applyNumberFormat="1" applyFont="1" applyBorder="1"/>
    <xf numFmtId="0" fontId="16" fillId="0" borderId="0" xfId="45" applyNumberFormat="1"/>
    <xf numFmtId="172" fontId="16" fillId="0" borderId="4" xfId="45" applyNumberFormat="1" applyBorder="1"/>
    <xf numFmtId="171" fontId="34" fillId="0" borderId="0" xfId="0" applyNumberFormat="1" applyFont="1"/>
    <xf numFmtId="171" fontId="34" fillId="0" borderId="0" xfId="45" applyNumberFormat="1" applyFont="1"/>
    <xf numFmtId="0" fontId="34" fillId="10" borderId="0" xfId="31" applyFont="1" applyFill="1"/>
    <xf numFmtId="0" fontId="38" fillId="82" borderId="0" xfId="0" applyFont="1" applyFill="1"/>
    <xf numFmtId="0" fontId="38" fillId="82" borderId="0" xfId="0" applyFont="1" applyFill="1" applyAlignment="1">
      <alignment horizontal="center"/>
    </xf>
    <xf numFmtId="2" fontId="0" fillId="82" borderId="0" xfId="0" applyNumberFormat="1" applyFill="1"/>
    <xf numFmtId="173" fontId="0" fillId="82" borderId="0" xfId="0" applyNumberFormat="1" applyFill="1"/>
    <xf numFmtId="0" fontId="0" fillId="82" borderId="0" xfId="0" applyFill="1"/>
    <xf numFmtId="0" fontId="35" fillId="82" borderId="0" xfId="0" applyFont="1" applyFill="1"/>
    <xf numFmtId="0" fontId="26" fillId="0" borderId="8" xfId="21" applyAlignment="1">
      <alignment horizontal="left"/>
    </xf>
    <xf numFmtId="0" fontId="2" fillId="0" borderId="0" xfId="31" applyFont="1" applyFill="1" applyAlignment="1">
      <alignment horizontal="left"/>
    </xf>
    <xf numFmtId="0" fontId="0" fillId="0" borderId="0" xfId="0" applyAlignment="1"/>
  </cellXfs>
  <cellStyles count="44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theme" Target="theme/theme1.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26.517696951596729</c:v>
                </c:pt>
                <c:pt idx="1">
                  <c:v>27.09455867738976</c:v>
                </c:pt>
                <c:pt idx="2">
                  <c:v>26.514710316786477</c:v>
                </c:pt>
                <c:pt idx="3">
                  <c:v>23.049501217228059</c:v>
                </c:pt>
                <c:pt idx="4" formatCode="0.000">
                  <c:v>19.509795942573113</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15.910618170958038</c:v>
                </c:pt>
                <c:pt idx="1">
                  <c:v>18.506614723638457</c:v>
                </c:pt>
                <c:pt idx="2">
                  <c:v>20.394394183928146</c:v>
                </c:pt>
                <c:pt idx="3">
                  <c:v>23.710576994261572</c:v>
                </c:pt>
                <c:pt idx="4" formatCode="0.000">
                  <c:v>27.206014458263109</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10.603684877445227</c:v>
                </c:pt>
                <c:pt idx="1">
                  <c:v>11.561826598971781</c:v>
                </c:pt>
                <c:pt idx="2">
                  <c:v>15.896895499285378</c:v>
                </c:pt>
                <c:pt idx="3">
                  <c:v>21.827921788510363</c:v>
                </c:pt>
                <c:pt idx="4" formatCode="0.000">
                  <c:v>28.480189599163776</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26.517696951596729</c:v>
                </c:pt>
                <c:pt idx="1">
                  <c:v>27.09455867738976</c:v>
                </c:pt>
                <c:pt idx="2">
                  <c:v>26.514710316786477</c:v>
                </c:pt>
                <c:pt idx="3">
                  <c:v>23.049501217228059</c:v>
                </c:pt>
                <c:pt idx="4">
                  <c:v>19.509795942573113</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15.910618170958038</c:v>
                </c:pt>
                <c:pt idx="1">
                  <c:v>18.506614723638457</c:v>
                </c:pt>
                <c:pt idx="2">
                  <c:v>20.394394183928146</c:v>
                </c:pt>
                <c:pt idx="3">
                  <c:v>23.710576994261572</c:v>
                </c:pt>
                <c:pt idx="4">
                  <c:v>27.206014458263109</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10.603684877445227</c:v>
                </c:pt>
                <c:pt idx="1">
                  <c:v>11.561826598971781</c:v>
                </c:pt>
                <c:pt idx="2">
                  <c:v>15.896895499285378</c:v>
                </c:pt>
                <c:pt idx="3">
                  <c:v>21.827921788510363</c:v>
                </c:pt>
                <c:pt idx="4">
                  <c:v>28.480189599163776</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33"/>
                <c:pt idx="0">
                  <c:v>10.675790841703828</c:v>
                </c:pt>
                <c:pt idx="1">
                  <c:v>12.639010653235388</c:v>
                </c:pt>
                <c:pt idx="2">
                  <c:v>14.602230464766947</c:v>
                </c:pt>
                <c:pt idx="3">
                  <c:v>16.565450276298506</c:v>
                </c:pt>
                <c:pt idx="4">
                  <c:v>18.528670087830069</c:v>
                </c:pt>
                <c:pt idx="5">
                  <c:v>20.491889899361627</c:v>
                </c:pt>
                <c:pt idx="6">
                  <c:v>20.394256315615621</c:v>
                </c:pt>
                <c:pt idx="7">
                  <c:v>20.47975114242583</c:v>
                </c:pt>
                <c:pt idx="8">
                  <c:v>21.251618137728347</c:v>
                </c:pt>
                <c:pt idx="9">
                  <c:v>22.088367143787096</c:v>
                </c:pt>
                <c:pt idx="10">
                  <c:v>22.002357662077561</c:v>
                </c:pt>
                <c:pt idx="11">
                  <c:v>21.916135219720022</c:v>
                </c:pt>
                <c:pt idx="12">
                  <c:v>21.822982682942275</c:v>
                </c:pt>
                <c:pt idx="13">
                  <c:v>21.745633600917927</c:v>
                </c:pt>
                <c:pt idx="14">
                  <c:v>21.600598526272062</c:v>
                </c:pt>
                <c:pt idx="15">
                  <c:v>21.421773695477441</c:v>
                </c:pt>
                <c:pt idx="16">
                  <c:v>21.23669314564793</c:v>
                </c:pt>
                <c:pt idx="17">
                  <c:v>21.01032485018812</c:v>
                </c:pt>
                <c:pt idx="18">
                  <c:v>20.79681405385109</c:v>
                </c:pt>
                <c:pt idx="19">
                  <c:v>20.556150774894522</c:v>
                </c:pt>
                <c:pt idx="20">
                  <c:v>20.322186882989509</c:v>
                </c:pt>
                <c:pt idx="21">
                  <c:v>20.078480041438659</c:v>
                </c:pt>
                <c:pt idx="22">
                  <c:v>19.798605383169761</c:v>
                </c:pt>
                <c:pt idx="23">
                  <c:v>19.492909246331305</c:v>
                </c:pt>
                <c:pt idx="24">
                  <c:v>19.192501632251414</c:v>
                </c:pt>
                <c:pt idx="25">
                  <c:v>18.903673753406331</c:v>
                </c:pt>
                <c:pt idx="26">
                  <c:v>18.625742361050406</c:v>
                </c:pt>
                <c:pt idx="27">
                  <c:v>18.355379945058676</c:v>
                </c:pt>
                <c:pt idx="28">
                  <c:v>18.078877163716388</c:v>
                </c:pt>
                <c:pt idx="29">
                  <c:v>16.702237421545505</c:v>
                </c:pt>
                <c:pt idx="30">
                  <c:v>15.302509195787682</c:v>
                </c:pt>
                <c:pt idx="31">
                  <c:v>15.302509195787682</c:v>
                </c:pt>
                <c:pt idx="32">
                  <c:v>15.302509195787682</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RES!$J$100:$AP$100</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3.9184316313285852E-2</c:v>
                </c:pt>
                <c:pt idx="7">
                  <c:v>3.9348581010416078E-2</c:v>
                </c:pt>
                <c:pt idx="8">
                  <c:v>4.0831600544330687E-2</c:v>
                </c:pt>
                <c:pt idx="9">
                  <c:v>4.2439280531324307E-2</c:v>
                </c:pt>
                <c:pt idx="10">
                  <c:v>4.2274027006748975E-2</c:v>
                </c:pt>
                <c:pt idx="11">
                  <c:v>4.2108364312196347E-2</c:v>
                </c:pt>
                <c:pt idx="12">
                  <c:v>4.192938654463297E-2</c:v>
                </c:pt>
                <c:pt idx="13">
                  <c:v>4.1780772599133834E-2</c:v>
                </c:pt>
                <c:pt idx="14">
                  <c:v>4.1502110795854787E-2</c:v>
                </c:pt>
                <c:pt idx="15">
                  <c:v>4.1158527356180107E-2</c:v>
                </c:pt>
                <c:pt idx="16">
                  <c:v>4.0802924548422735E-2</c:v>
                </c:pt>
                <c:pt idx="17">
                  <c:v>4.0367993911319545E-2</c:v>
                </c:pt>
                <c:pt idx="18">
                  <c:v>3.9957766911594833E-2</c:v>
                </c:pt>
                <c:pt idx="19">
                  <c:v>3.9495370739766486E-2</c:v>
                </c:pt>
                <c:pt idx="20">
                  <c:v>3.9045846373473518E-2</c:v>
                </c:pt>
                <c:pt idx="21">
                  <c:v>3.8577602480719834E-2</c:v>
                </c:pt>
                <c:pt idx="22">
                  <c:v>3.8039867886824182E-2</c:v>
                </c:pt>
                <c:pt idx="23">
                  <c:v>3.745252143318293E-2</c:v>
                </c:pt>
                <c:pt idx="24">
                  <c:v>3.6875336033977524E-2</c:v>
                </c:pt>
                <c:pt idx="25">
                  <c:v>3.6320399252286917E-2</c:v>
                </c:pt>
                <c:pt idx="26">
                  <c:v>3.5786398334433991E-2</c:v>
                </c:pt>
                <c:pt idx="27">
                  <c:v>3.5266939999523662E-2</c:v>
                </c:pt>
                <c:pt idx="28">
                  <c:v>3.4735683930268338E-2</c:v>
                </c:pt>
                <c:pt idx="29">
                  <c:v>3.2090689855865093E-2</c:v>
                </c:pt>
                <c:pt idx="30">
                  <c:v>2.9401334936424713E-2</c:v>
                </c:pt>
                <c:pt idx="31">
                  <c:v>2.9401334936424713E-2</c:v>
                </c:pt>
                <c:pt idx="32">
                  <c:v>2.9401334936424713E-2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RES!$J$101:$AP$101</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12.967444596874687</c:v>
                </c:pt>
                <c:pt idx="7">
                  <c:v>13.021805462641188</c:v>
                </c:pt>
                <c:pt idx="8">
                  <c:v>13.512587884066265</c:v>
                </c:pt>
                <c:pt idx="9">
                  <c:v>14.044624758058513</c:v>
                </c:pt>
                <c:pt idx="10">
                  <c:v>13.989936655113551</c:v>
                </c:pt>
                <c:pt idx="11">
                  <c:v>13.935113143680947</c:v>
                </c:pt>
                <c:pt idx="12">
                  <c:v>13.875883214379783</c:v>
                </c:pt>
                <c:pt idx="13">
                  <c:v>13.826701723265453</c:v>
                </c:pt>
                <c:pt idx="14">
                  <c:v>13.73448290116338</c:v>
                </c:pt>
                <c:pt idx="15">
                  <c:v>13.620779265689347</c:v>
                </c:pt>
                <c:pt idx="16">
                  <c:v>13.503098005890937</c:v>
                </c:pt>
                <c:pt idx="17">
                  <c:v>13.359164425551633</c:v>
                </c:pt>
                <c:pt idx="18">
                  <c:v>13.223406132653496</c:v>
                </c:pt>
                <c:pt idx="19">
                  <c:v>13.070383257581462</c:v>
                </c:pt>
                <c:pt idx="20">
                  <c:v>12.921620107849719</c:v>
                </c:pt>
                <c:pt idx="21">
                  <c:v>12.766662019808519</c:v>
                </c:pt>
                <c:pt idx="22">
                  <c:v>12.588707056950064</c:v>
                </c:pt>
                <c:pt idx="23">
                  <c:v>12.394333814965455</c:v>
                </c:pt>
                <c:pt idx="24">
                  <c:v>12.203323217090526</c:v>
                </c:pt>
                <c:pt idx="25">
                  <c:v>12.019675455730939</c:v>
                </c:pt>
                <c:pt idx="26">
                  <c:v>11.842956095322188</c:v>
                </c:pt>
                <c:pt idx="27">
                  <c:v>11.671049378244913</c:v>
                </c:pt>
                <c:pt idx="28">
                  <c:v>11.495238383107401</c:v>
                </c:pt>
                <c:pt idx="29">
                  <c:v>10.619918424870525</c:v>
                </c:pt>
                <c:pt idx="30">
                  <c:v>9.7299179297655201</c:v>
                </c:pt>
                <c:pt idx="31">
                  <c:v>9.7299179297655201</c:v>
                </c:pt>
                <c:pt idx="32">
                  <c:v>9.7299179297655201</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RES!$J$102:$AP$102</c:f>
              <c:numCache>
                <c:formatCode>0.000</c:formatCode>
                <c:ptCount val="33"/>
                <c:pt idx="0" formatCode="0.00">
                  <c:v>14.601022992423397</c:v>
                </c:pt>
                <c:pt idx="1">
                  <c:v>13.891192798312483</c:v>
                </c:pt>
                <c:pt idx="2">
                  <c:v>13.181362604201567</c:v>
                </c:pt>
                <c:pt idx="3">
                  <c:v>12.471532410090653</c:v>
                </c:pt>
                <c:pt idx="4">
                  <c:v>11.761702215979739</c:v>
                </c:pt>
                <c:pt idx="5">
                  <c:v>11.051872021868823</c:v>
                </c:pt>
                <c:pt idx="6">
                  <c:v>10.999215391470331</c:v>
                </c:pt>
                <c:pt idx="7">
                  <c:v>11.045325237320505</c:v>
                </c:pt>
                <c:pt idx="8">
                  <c:v>11.461615549823774</c:v>
                </c:pt>
                <c:pt idx="9">
                  <c:v>11.912898617164251</c:v>
                </c:pt>
                <c:pt idx="10">
                  <c:v>11.866511202963345</c:v>
                </c:pt>
                <c:pt idx="11">
                  <c:v>11.820008932893167</c:v>
                </c:pt>
                <c:pt idx="12">
                  <c:v>11.769769061410539</c:v>
                </c:pt>
                <c:pt idx="13">
                  <c:v>11.728052452559895</c:v>
                </c:pt>
                <c:pt idx="14">
                  <c:v>11.649830819926674</c:v>
                </c:pt>
                <c:pt idx="15">
                  <c:v>11.553385389369481</c:v>
                </c:pt>
                <c:pt idx="16">
                  <c:v>11.453566067652522</c:v>
                </c:pt>
                <c:pt idx="17">
                  <c:v>11.331479064281089</c:v>
                </c:pt>
                <c:pt idx="18">
                  <c:v>11.216326484016754</c:v>
                </c:pt>
                <c:pt idx="19">
                  <c:v>11.086529780420657</c:v>
                </c:pt>
                <c:pt idx="20">
                  <c:v>10.960346251045305</c:v>
                </c:pt>
                <c:pt idx="21">
                  <c:v>10.828908065650909</c:v>
                </c:pt>
                <c:pt idx="22">
                  <c:v>10.677963525125708</c:v>
                </c:pt>
                <c:pt idx="23">
                  <c:v>10.513092710451676</c:v>
                </c:pt>
                <c:pt idx="24">
                  <c:v>10.351074149864479</c:v>
                </c:pt>
                <c:pt idx="25">
                  <c:v>10.195300877168771</c:v>
                </c:pt>
                <c:pt idx="26">
                  <c:v>10.045404396450651</c:v>
                </c:pt>
                <c:pt idx="27">
                  <c:v>9.8995900847527842</c:v>
                </c:pt>
                <c:pt idx="28">
                  <c:v>9.7504640954910062</c:v>
                </c:pt>
                <c:pt idx="29">
                  <c:v>9.0080022569094371</c:v>
                </c:pt>
                <c:pt idx="30">
                  <c:v>8.2530881278346531</c:v>
                </c:pt>
                <c:pt idx="31">
                  <c:v>8.2530881278346531</c:v>
                </c:pt>
                <c:pt idx="32">
                  <c:v>8.2530881278346531</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RES!$J$103:$AP$103</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RES!$J$104:$AP$104</c:f>
              <c:numCache>
                <c:formatCode>0.000</c:formatCode>
                <c:ptCount val="33"/>
                <c:pt idx="0" formatCode="0.00">
                  <c:v>5.6499455804389198</c:v>
                </c:pt>
                <c:pt idx="1">
                  <c:v>6.0252615262969664</c:v>
                </c:pt>
                <c:pt idx="2">
                  <c:v>6.400577472155013</c:v>
                </c:pt>
                <c:pt idx="3">
                  <c:v>6.7758934180130606</c:v>
                </c:pt>
                <c:pt idx="4">
                  <c:v>7.1512093638711072</c:v>
                </c:pt>
                <c:pt idx="5">
                  <c:v>7.5265253097291538</c:v>
                </c:pt>
                <c:pt idx="6">
                  <c:v>7.490665189322848</c:v>
                </c:pt>
                <c:pt idx="7">
                  <c:v>7.5220668307038121</c:v>
                </c:pt>
                <c:pt idx="8">
                  <c:v>7.8055680843422071</c:v>
                </c:pt>
                <c:pt idx="9">
                  <c:v>8.1129000387359334</c:v>
                </c:pt>
                <c:pt idx="10">
                  <c:v>8.0813093682734856</c:v>
                </c:pt>
                <c:pt idx="11">
                  <c:v>8.0496404788807663</c:v>
                </c:pt>
                <c:pt idx="12">
                  <c:v>8.0154262151322087</c:v>
                </c:pt>
                <c:pt idx="13">
                  <c:v>7.9870164478340397</c:v>
                </c:pt>
                <c:pt idx="14">
                  <c:v>7.9337460971986618</c:v>
                </c:pt>
                <c:pt idx="15">
                  <c:v>7.8680650096272471</c:v>
                </c:pt>
                <c:pt idx="16">
                  <c:v>7.8000862409791774</c:v>
                </c:pt>
                <c:pt idx="17">
                  <c:v>7.7169427772251789</c:v>
                </c:pt>
                <c:pt idx="18">
                  <c:v>7.6385217813861797</c:v>
                </c:pt>
                <c:pt idx="19">
                  <c:v>7.5501278719378639</c:v>
                </c:pt>
                <c:pt idx="20">
                  <c:v>7.4641945996709325</c:v>
                </c:pt>
                <c:pt idx="21">
                  <c:v>7.3746828113441882</c:v>
                </c:pt>
                <c:pt idx="22">
                  <c:v>7.2718868413600681</c:v>
                </c:pt>
                <c:pt idx="23">
                  <c:v>7.1596068260808163</c:v>
                </c:pt>
                <c:pt idx="24">
                  <c:v>7.049269247569911</c:v>
                </c:pt>
                <c:pt idx="25">
                  <c:v>6.9431848233923921</c:v>
                </c:pt>
                <c:pt idx="26">
                  <c:v>6.8411026011469813</c:v>
                </c:pt>
                <c:pt idx="27">
                  <c:v>6.7418004100482145</c:v>
                </c:pt>
                <c:pt idx="28">
                  <c:v>6.6402429064600232</c:v>
                </c:pt>
                <c:pt idx="29">
                  <c:v>6.1346129273456533</c:v>
                </c:pt>
                <c:pt idx="30">
                  <c:v>5.6205027125412723</c:v>
                </c:pt>
                <c:pt idx="31">
                  <c:v>5.6205027125412723</c:v>
                </c:pt>
                <c:pt idx="32">
                  <c:v>5.6205027125412723</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2.7377296396374877</c:v>
                </c:pt>
                <c:pt idx="7">
                  <c:v>2.7492064847732807</c:v>
                </c:pt>
                <c:pt idx="8">
                  <c:v>2.8528220870386893</c:v>
                </c:pt>
                <c:pt idx="9">
                  <c:v>2.9651474652909089</c:v>
                </c:pt>
                <c:pt idx="10">
                  <c:v>2.9536015327635359</c:v>
                </c:pt>
                <c:pt idx="11">
                  <c:v>2.9420270123499908</c:v>
                </c:pt>
                <c:pt idx="12">
                  <c:v>2.9295221944739605</c:v>
                </c:pt>
                <c:pt idx="13">
                  <c:v>2.9191388359842141</c:v>
                </c:pt>
                <c:pt idx="14">
                  <c:v>2.8996692943397369</c:v>
                </c:pt>
                <c:pt idx="15">
                  <c:v>2.8756638080894374</c:v>
                </c:pt>
                <c:pt idx="16">
                  <c:v>2.8508185526828607</c:v>
                </c:pt>
                <c:pt idx="17">
                  <c:v>2.8204308208448525</c:v>
                </c:pt>
                <c:pt idx="18">
                  <c:v>2.7917690826344272</c:v>
                </c:pt>
                <c:pt idx="19">
                  <c:v>2.7594623889371803</c:v>
                </c:pt>
                <c:pt idx="20">
                  <c:v>2.7280550224924007</c:v>
                </c:pt>
                <c:pt idx="21">
                  <c:v>2.6953397602552909</c:v>
                </c:pt>
                <c:pt idx="22">
                  <c:v>2.6577693220167808</c:v>
                </c:pt>
                <c:pt idx="23">
                  <c:v>2.6167326025800195</c:v>
                </c:pt>
                <c:pt idx="24">
                  <c:v>2.5764058156498404</c:v>
                </c:pt>
                <c:pt idx="25">
                  <c:v>2.5376334950302182</c:v>
                </c:pt>
                <c:pt idx="26">
                  <c:v>2.5003239212530208</c:v>
                </c:pt>
                <c:pt idx="27">
                  <c:v>2.4640304085968219</c:v>
                </c:pt>
                <c:pt idx="28">
                  <c:v>2.4269126118893554</c:v>
                </c:pt>
                <c:pt idx="29">
                  <c:v>2.2421121775455757</c:v>
                </c:pt>
                <c:pt idx="30">
                  <c:v>2.0542123398760741</c:v>
                </c:pt>
                <c:pt idx="31">
                  <c:v>2.0542123398760741</c:v>
                </c:pt>
                <c:pt idx="32">
                  <c:v>2.0542123398760741</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2.818153896050748</c:v>
                </c:pt>
                <c:pt idx="7">
                  <c:v>2.8299678879678201</c:v>
                </c:pt>
                <c:pt idx="8">
                  <c:v>2.9366273290565945</c:v>
                </c:pt>
                <c:pt idx="9">
                  <c:v>3.0522524067720047</c:v>
                </c:pt>
                <c:pt idx="10">
                  <c:v>3.0403672979342073</c:v>
                </c:pt>
                <c:pt idx="11">
                  <c:v>3.0284527614050742</c:v>
                </c:pt>
                <c:pt idx="12">
                  <c:v>3.0155805987537589</c:v>
                </c:pt>
                <c:pt idx="13">
                  <c:v>3.0048922160302389</c:v>
                </c:pt>
                <c:pt idx="14">
                  <c:v>2.9848507320775099</c:v>
                </c:pt>
                <c:pt idx="15">
                  <c:v>2.9601400544330101</c:v>
                </c:pt>
                <c:pt idx="16">
                  <c:v>2.9345649383555541</c:v>
                </c:pt>
                <c:pt idx="17">
                  <c:v>2.9032845286205853</c:v>
                </c:pt>
                <c:pt idx="18">
                  <c:v>2.8737808157499485</c:v>
                </c:pt>
                <c:pt idx="19">
                  <c:v>2.8405250722341386</c:v>
                </c:pt>
                <c:pt idx="20">
                  <c:v>2.8081950748415658</c:v>
                </c:pt>
                <c:pt idx="21">
                  <c:v>2.7745187605704311</c:v>
                </c:pt>
                <c:pt idx="22">
                  <c:v>2.7358446433876216</c:v>
                </c:pt>
                <c:pt idx="23">
                  <c:v>2.6936024186304817</c:v>
                </c:pt>
                <c:pt idx="24">
                  <c:v>2.6520909815414848</c:v>
                </c:pt>
                <c:pt idx="25">
                  <c:v>2.6121796751688127</c:v>
                </c:pt>
                <c:pt idx="26">
                  <c:v>2.5737740856694336</c:v>
                </c:pt>
                <c:pt idx="27">
                  <c:v>2.5364144053662399</c:v>
                </c:pt>
                <c:pt idx="28">
                  <c:v>2.4982062266295633</c:v>
                </c:pt>
                <c:pt idx="29">
                  <c:v>2.3079770467654939</c:v>
                </c:pt>
                <c:pt idx="30">
                  <c:v>2.1145574146992225</c:v>
                </c:pt>
                <c:pt idx="31">
                  <c:v>2.1145574146992225</c:v>
                </c:pt>
                <c:pt idx="32">
                  <c:v>2.1145574146992225</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24.217536024224859</c:v>
                </c:pt>
                <c:pt idx="7">
                  <c:v>24.682026564808769</c:v>
                </c:pt>
                <c:pt idx="8">
                  <c:v>25.830171010809998</c:v>
                </c:pt>
                <c:pt idx="9">
                  <c:v>24.711111501265762</c:v>
                </c:pt>
                <c:pt idx="10">
                  <c:v>25.119532221350859</c:v>
                </c:pt>
                <c:pt idx="11">
                  <c:v>25.496057408513508</c:v>
                </c:pt>
                <c:pt idx="12">
                  <c:v>25.90919929906584</c:v>
                </c:pt>
                <c:pt idx="13">
                  <c:v>26.315646285678014</c:v>
                </c:pt>
                <c:pt idx="14">
                  <c:v>26.689834572408728</c:v>
                </c:pt>
                <c:pt idx="15">
                  <c:v>27.134824626280153</c:v>
                </c:pt>
                <c:pt idx="16">
                  <c:v>27.565382740997556</c:v>
                </c:pt>
                <c:pt idx="17">
                  <c:v>27.977577239482887</c:v>
                </c:pt>
                <c:pt idx="18">
                  <c:v>28.464994668088273</c:v>
                </c:pt>
                <c:pt idx="19">
                  <c:v>28.865488874546113</c:v>
                </c:pt>
                <c:pt idx="20">
                  <c:v>29.351927331348932</c:v>
                </c:pt>
                <c:pt idx="21">
                  <c:v>29.784490759274835</c:v>
                </c:pt>
                <c:pt idx="22">
                  <c:v>30.236333615764245</c:v>
                </c:pt>
                <c:pt idx="23">
                  <c:v>30.69262921496858</c:v>
                </c:pt>
                <c:pt idx="24">
                  <c:v>31.186046793331649</c:v>
                </c:pt>
                <c:pt idx="25">
                  <c:v>31.660958646652588</c:v>
                </c:pt>
                <c:pt idx="26">
                  <c:v>32.147444473058762</c:v>
                </c:pt>
                <c:pt idx="27">
                  <c:v>32.621977369552901</c:v>
                </c:pt>
                <c:pt idx="28">
                  <c:v>33.093478611432637</c:v>
                </c:pt>
                <c:pt idx="29">
                  <c:v>35.503028225045341</c:v>
                </c:pt>
                <c:pt idx="30">
                  <c:v>37.972153009804771</c:v>
                </c:pt>
                <c:pt idx="31">
                  <c:v>37.972153009804771</c:v>
                </c:pt>
                <c:pt idx="32">
                  <c:v>37.972153009804771</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RES!$J$111:$AP$111</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7.1245307030385091E-2</c:v>
                </c:pt>
                <c:pt idx="7">
                  <c:v>7.261178672276615E-2</c:v>
                </c:pt>
                <c:pt idx="8">
                  <c:v>7.5989500437685972E-2</c:v>
                </c:pt>
                <c:pt idx="9">
                  <c:v>7.2697351382431163E-2</c:v>
                </c:pt>
                <c:pt idx="10">
                  <c:v>7.3898879876945503E-2</c:v>
                </c:pt>
                <c:pt idx="11">
                  <c:v>7.500657524848299E-2</c:v>
                </c:pt>
                <c:pt idx="12">
                  <c:v>7.6221992903279551E-2</c:v>
                </c:pt>
                <c:pt idx="13">
                  <c:v>7.7417714892659195E-2</c:v>
                </c:pt>
                <c:pt idx="14">
                  <c:v>7.8518535362117212E-2</c:v>
                </c:pt>
                <c:pt idx="15">
                  <c:v>7.9827646783767386E-2</c:v>
                </c:pt>
                <c:pt idx="16">
                  <c:v>8.1094301039872571E-2</c:v>
                </c:pt>
                <c:pt idx="17">
                  <c:v>8.2306931572204478E-2</c:v>
                </c:pt>
                <c:pt idx="18">
                  <c:v>8.3740859628230274E-2</c:v>
                </c:pt>
                <c:pt idx="19">
                  <c:v>8.4919069198123642E-2</c:v>
                </c:pt>
                <c:pt idx="20">
                  <c:v>8.6350117227602635E-2</c:v>
                </c:pt>
                <c:pt idx="21">
                  <c:v>8.7622670892924706E-2</c:v>
                </c:pt>
                <c:pt idx="22">
                  <c:v>8.8951942500402559E-2</c:v>
                </c:pt>
                <c:pt idx="23">
                  <c:v>9.0294313583464347E-2</c:v>
                </c:pt>
                <c:pt idx="24">
                  <c:v>9.1745893415099644E-2</c:v>
                </c:pt>
                <c:pt idx="25">
                  <c:v>9.3143031454591949E-2</c:v>
                </c:pt>
                <c:pt idx="26">
                  <c:v>9.4574218840194194E-2</c:v>
                </c:pt>
                <c:pt idx="27">
                  <c:v>9.597024203070062E-2</c:v>
                </c:pt>
                <c:pt idx="28">
                  <c:v>9.7357346429320174E-2</c:v>
                </c:pt>
                <c:pt idx="29">
                  <c:v>0.10444597434980976</c:v>
                </c:pt>
                <c:pt idx="30">
                  <c:v>0.11170986582128532</c:v>
                </c:pt>
                <c:pt idx="31">
                  <c:v>0.11170986582128532</c:v>
                </c:pt>
                <c:pt idx="32">
                  <c:v>0.11170986582128532</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RES!$J$112:$AP$112</c:f>
              <c:numCache>
                <c:formatCode>0.000</c:formatCode>
                <c:ptCount val="33"/>
                <c:pt idx="0" formatCode="0.00">
                  <c:v>9.0451133406280029</c:v>
                </c:pt>
                <c:pt idx="1">
                  <c:v>8.9402016286214678</c:v>
                </c:pt>
                <c:pt idx="2">
                  <c:v>8.8352899166149328</c:v>
                </c:pt>
                <c:pt idx="3">
                  <c:v>8.7303782046083978</c:v>
                </c:pt>
                <c:pt idx="4">
                  <c:v>8.6254664926018627</c:v>
                </c:pt>
                <c:pt idx="5">
                  <c:v>8.5205547805953277</c:v>
                </c:pt>
                <c:pt idx="6">
                  <c:v>8.6944854178088367</c:v>
                </c:pt>
                <c:pt idx="7">
                  <c:v>8.861245001763919</c:v>
                </c:pt>
                <c:pt idx="8">
                  <c:v>9.2734473469286112</c:v>
                </c:pt>
                <c:pt idx="9">
                  <c:v>8.8716869623188774</c:v>
                </c:pt>
                <c:pt idx="10">
                  <c:v>9.0183165777991139</c:v>
                </c:pt>
                <c:pt idx="11">
                  <c:v>9.1534951833330833</c:v>
                </c:pt>
                <c:pt idx="12">
                  <c:v>9.3018197750380391</c:v>
                </c:pt>
                <c:pt idx="13">
                  <c:v>9.4477407884176401</c:v>
                </c:pt>
                <c:pt idx="14">
                  <c:v>9.58208040906446</c:v>
                </c:pt>
                <c:pt idx="15">
                  <c:v>9.7418390042652661</c:v>
                </c:pt>
                <c:pt idx="16">
                  <c:v>9.8964163009062247</c:v>
                </c:pt>
                <c:pt idx="17">
                  <c:v>10.044400763602876</c:v>
                </c:pt>
                <c:pt idx="18">
                  <c:v>10.219391469558936</c:v>
                </c:pt>
                <c:pt idx="19">
                  <c:v>10.363175339003021</c:v>
                </c:pt>
                <c:pt idx="20">
                  <c:v>10.537814578317166</c:v>
                </c:pt>
                <c:pt idx="21">
                  <c:v>10.693111814692374</c:v>
                </c:pt>
                <c:pt idx="22">
                  <c:v>10.855330676386584</c:v>
                </c:pt>
                <c:pt idx="23">
                  <c:v>11.01914814441983</c:v>
                </c:pt>
                <c:pt idx="24">
                  <c:v>11.19629300076182</c:v>
                </c:pt>
                <c:pt idx="25">
                  <c:v>11.366794003808254</c:v>
                </c:pt>
                <c:pt idx="26">
                  <c:v>11.541450249572817</c:v>
                </c:pt>
                <c:pt idx="27">
                  <c:v>11.711815201015927</c:v>
                </c:pt>
                <c:pt idx="28">
                  <c:v>11.881091739632465</c:v>
                </c:pt>
                <c:pt idx="29">
                  <c:v>12.746158852904701</c:v>
                </c:pt>
                <c:pt idx="30">
                  <c:v>13.632614411982511</c:v>
                </c:pt>
                <c:pt idx="31">
                  <c:v>13.632614411982511</c:v>
                </c:pt>
                <c:pt idx="32">
                  <c:v>13.632614411982511</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RES!$J$113:$AP$113</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13.083281286912216</c:v>
                </c:pt>
                <c:pt idx="7">
                  <c:v>13.334217649368343</c:v>
                </c:pt>
                <c:pt idx="8">
                  <c:v>13.954491187106205</c:v>
                </c:pt>
                <c:pt idx="9">
                  <c:v>13.349930494989721</c:v>
                </c:pt>
                <c:pt idx="10">
                  <c:v>13.570575698487362</c:v>
                </c:pt>
                <c:pt idx="11">
                  <c:v>13.773989659772628</c:v>
                </c:pt>
                <c:pt idx="12">
                  <c:v>13.99718542833042</c:v>
                </c:pt>
                <c:pt idx="13">
                  <c:v>14.216764342087199</c:v>
                </c:pt>
                <c:pt idx="14">
                  <c:v>14.418915816319284</c:v>
                </c:pt>
                <c:pt idx="15">
                  <c:v>14.659317236135669</c:v>
                </c:pt>
                <c:pt idx="16">
                  <c:v>14.891921945366848</c:v>
                </c:pt>
                <c:pt idx="17">
                  <c:v>15.114605894849024</c:v>
                </c:pt>
                <c:pt idx="18">
                  <c:v>15.377928278935034</c:v>
                </c:pt>
                <c:pt idx="19">
                  <c:v>15.594291262833364</c:v>
                </c:pt>
                <c:pt idx="20">
                  <c:v>15.857084767207906</c:v>
                </c:pt>
                <c:pt idx="21">
                  <c:v>16.090772826815808</c:v>
                </c:pt>
                <c:pt idx="22">
                  <c:v>16.334876404612473</c:v>
                </c:pt>
                <c:pt idx="23">
                  <c:v>16.581385532064534</c:v>
                </c:pt>
                <c:pt idx="24">
                  <c:v>16.847949436962772</c:v>
                </c:pt>
                <c:pt idx="25">
                  <c:v>17.10451580925066</c:v>
                </c:pt>
                <c:pt idx="26">
                  <c:v>17.367334904578989</c:v>
                </c:pt>
                <c:pt idx="27">
                  <c:v>17.62369654923663</c:v>
                </c:pt>
                <c:pt idx="28">
                  <c:v>17.878420372852311</c:v>
                </c:pt>
                <c:pt idx="29">
                  <c:v>19.180155418817819</c:v>
                </c:pt>
                <c:pt idx="30">
                  <c:v>20.514075354321587</c:v>
                </c:pt>
                <c:pt idx="31">
                  <c:v>20.514075354321587</c:v>
                </c:pt>
                <c:pt idx="32">
                  <c:v>20.514075354321587</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RES!$J$114:$AP$114</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11.558775664391113</c:v>
                </c:pt>
                <c:pt idx="7">
                  <c:v>11.780472122340864</c:v>
                </c:pt>
                <c:pt idx="8">
                  <c:v>12.328469411097643</c:v>
                </c:pt>
                <c:pt idx="9">
                  <c:v>11.794354057124947</c:v>
                </c:pt>
                <c:pt idx="10">
                  <c:v>11.989288978474105</c:v>
                </c:pt>
                <c:pt idx="11">
                  <c:v>12.169000496857002</c:v>
                </c:pt>
                <c:pt idx="12">
                  <c:v>12.366188783298695</c:v>
                </c:pt>
                <c:pt idx="13">
                  <c:v>12.560181662385091</c:v>
                </c:pt>
                <c:pt idx="14">
                  <c:v>12.738777802728878</c:v>
                </c:pt>
                <c:pt idx="15">
                  <c:v>12.951166883122525</c:v>
                </c:pt>
                <c:pt idx="16">
                  <c:v>13.156667750490842</c:v>
                </c:pt>
                <c:pt idx="17">
                  <c:v>13.353403856646407</c:v>
                </c:pt>
                <c:pt idx="18">
                  <c:v>13.58604307752042</c:v>
                </c:pt>
                <c:pt idx="19">
                  <c:v>13.777194757142322</c:v>
                </c:pt>
                <c:pt idx="20">
                  <c:v>14.009366725054006</c:v>
                </c:pt>
                <c:pt idx="21">
                  <c:v>14.215824707361293</c:v>
                </c:pt>
                <c:pt idx="22">
                  <c:v>14.431484558491253</c:v>
                </c:pt>
                <c:pt idx="23">
                  <c:v>14.649269656966011</c:v>
                </c:pt>
                <c:pt idx="24">
                  <c:v>14.884772686318824</c:v>
                </c:pt>
                <c:pt idx="25">
                  <c:v>15.111443127415965</c:v>
                </c:pt>
                <c:pt idx="26">
                  <c:v>15.34363770434196</c:v>
                </c:pt>
                <c:pt idx="27">
                  <c:v>15.570127273324649</c:v>
                </c:pt>
                <c:pt idx="28">
                  <c:v>15.795169865391738</c:v>
                </c:pt>
                <c:pt idx="29">
                  <c:v>16.945222596111726</c:v>
                </c:pt>
                <c:pt idx="30">
                  <c:v>18.123709930490978</c:v>
                </c:pt>
                <c:pt idx="31">
                  <c:v>18.123709930490978</c:v>
                </c:pt>
                <c:pt idx="32">
                  <c:v>18.123709930490978</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RES!$J$115:$AP$115</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5.2223550700262535</c:v>
                </c:pt>
                <c:pt idx="7">
                  <c:v>5.3225194520332071</c:v>
                </c:pt>
                <c:pt idx="8">
                  <c:v>5.5701093787168787</c:v>
                </c:pt>
                <c:pt idx="9">
                  <c:v>5.3287914305373638</c:v>
                </c:pt>
                <c:pt idx="10">
                  <c:v>5.4168647182618708</c:v>
                </c:pt>
                <c:pt idx="11">
                  <c:v>5.4980599405257919</c:v>
                </c:pt>
                <c:pt idx="12">
                  <c:v>5.5871513181377823</c:v>
                </c:pt>
                <c:pt idx="13">
                  <c:v>5.6747989829996301</c:v>
                </c:pt>
                <c:pt idx="14">
                  <c:v>5.7554902677941628</c:v>
                </c:pt>
                <c:pt idx="15">
                  <c:v>5.8514494959180361</c:v>
                </c:pt>
                <c:pt idx="16">
                  <c:v>5.9442965696701373</c:v>
                </c:pt>
                <c:pt idx="17">
                  <c:v>6.0331836483080519</c:v>
                </c:pt>
                <c:pt idx="18">
                  <c:v>6.1382920654876632</c:v>
                </c:pt>
                <c:pt idx="19">
                  <c:v>6.224656051795729</c:v>
                </c:pt>
                <c:pt idx="20">
                  <c:v>6.3295533600354617</c:v>
                </c:pt>
                <c:pt idx="21">
                  <c:v>6.4228328666160275</c:v>
                </c:pt>
                <c:pt idx="22">
                  <c:v>6.5202698573190547</c:v>
                </c:pt>
                <c:pt idx="23">
                  <c:v>6.6186670532002445</c:v>
                </c:pt>
                <c:pt idx="24">
                  <c:v>6.7250693638823416</c:v>
                </c:pt>
                <c:pt idx="25">
                  <c:v>6.8274810346041388</c:v>
                </c:pt>
                <c:pt idx="26">
                  <c:v>6.932388557792577</c:v>
                </c:pt>
                <c:pt idx="27">
                  <c:v>7.034718508924743</c:v>
                </c:pt>
                <c:pt idx="28">
                  <c:v>7.1363947033398656</c:v>
                </c:pt>
                <c:pt idx="29">
                  <c:v>7.6559984990580912</c:v>
                </c:pt>
                <c:pt idx="30">
                  <c:v>8.1884492952628474</c:v>
                </c:pt>
                <c:pt idx="31">
                  <c:v>8.1884492952628474</c:v>
                </c:pt>
                <c:pt idx="32">
                  <c:v>8.1884492952628474</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4.756767482644606</c:v>
                </c:pt>
                <c:pt idx="7">
                  <c:v>4.8480019293379195</c:v>
                </c:pt>
                <c:pt idx="8">
                  <c:v>5.073518520317883</c:v>
                </c:pt>
                <c:pt idx="9">
                  <c:v>4.8537147433845265</c:v>
                </c:pt>
                <c:pt idx="10">
                  <c:v>4.9339360507295735</c:v>
                </c:pt>
                <c:pt idx="11">
                  <c:v>5.0078924914219867</c:v>
                </c:pt>
                <c:pt idx="12">
                  <c:v>5.0890411230883892</c:v>
                </c:pt>
                <c:pt idx="13">
                  <c:v>5.1688747530415657</c:v>
                </c:pt>
                <c:pt idx="14">
                  <c:v>5.2423721837020052</c:v>
                </c:pt>
                <c:pt idx="15">
                  <c:v>5.3297763777636353</c:v>
                </c:pt>
                <c:pt idx="16">
                  <c:v>5.414345874735905</c:v>
                </c:pt>
                <c:pt idx="17">
                  <c:v>5.4953084212542098</c:v>
                </c:pt>
                <c:pt idx="18">
                  <c:v>5.5910461285314952</c:v>
                </c:pt>
                <c:pt idx="19">
                  <c:v>5.6697105234707896</c:v>
                </c:pt>
                <c:pt idx="20">
                  <c:v>5.7652559427617076</c:v>
                </c:pt>
                <c:pt idx="21">
                  <c:v>5.8502193199641193</c:v>
                </c:pt>
                <c:pt idx="22">
                  <c:v>5.9389695299303238</c:v>
                </c:pt>
                <c:pt idx="23">
                  <c:v>6.0285943400925914</c:v>
                </c:pt>
                <c:pt idx="24">
                  <c:v>6.1255105866411634</c:v>
                </c:pt>
                <c:pt idx="25">
                  <c:v>6.2187919699635543</c:v>
                </c:pt>
                <c:pt idx="26">
                  <c:v>6.3143466935118786</c:v>
                </c:pt>
                <c:pt idx="27">
                  <c:v>6.4075536427750297</c:v>
                </c:pt>
                <c:pt idx="28">
                  <c:v>6.5001651195642696</c:v>
                </c:pt>
                <c:pt idx="29">
                  <c:v>6.9734447809793139</c:v>
                </c:pt>
                <c:pt idx="30">
                  <c:v>7.4584260967905891</c:v>
                </c:pt>
                <c:pt idx="31">
                  <c:v>7.4584260967905891</c:v>
                </c:pt>
                <c:pt idx="32">
                  <c:v>7.4584260967905891</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8.948576177158694</c:v>
                </c:pt>
                <c:pt idx="7">
                  <c:v>9.1202092029886934</c:v>
                </c:pt>
                <c:pt idx="8">
                  <c:v>9.5444578972879945</c:v>
                </c:pt>
                <c:pt idx="9">
                  <c:v>9.1309563231429856</c:v>
                </c:pt>
                <c:pt idx="10">
                  <c:v>9.2818710950816179</c:v>
                </c:pt>
                <c:pt idx="11">
                  <c:v>9.4210002086534335</c:v>
                </c:pt>
                <c:pt idx="12">
                  <c:v>9.5736594914097282</c:v>
                </c:pt>
                <c:pt idx="13">
                  <c:v>9.7238449528058606</c:v>
                </c:pt>
                <c:pt idx="14">
                  <c:v>9.8621105626953565</c:v>
                </c:pt>
                <c:pt idx="15">
                  <c:v>10.026538000365447</c:v>
                </c:pt>
                <c:pt idx="16">
                  <c:v>10.185632719348769</c:v>
                </c:pt>
                <c:pt idx="17">
                  <c:v>10.337941933044664</c:v>
                </c:pt>
                <c:pt idx="18">
                  <c:v>10.518046630136354</c:v>
                </c:pt>
                <c:pt idx="19">
                  <c:v>10.666032490936303</c:v>
                </c:pt>
                <c:pt idx="20">
                  <c:v>10.845775449998913</c:v>
                </c:pt>
                <c:pt idx="21">
                  <c:v>11.005611148493418</c:v>
                </c:pt>
                <c:pt idx="22">
                  <c:v>11.17257075236707</c:v>
                </c:pt>
                <c:pt idx="23">
                  <c:v>11.341175680824607</c:v>
                </c:pt>
                <c:pt idx="24">
                  <c:v>11.523497481965498</c:v>
                </c:pt>
                <c:pt idx="25">
                  <c:v>11.698981267459901</c:v>
                </c:pt>
                <c:pt idx="26">
                  <c:v>11.878741729975534</c:v>
                </c:pt>
                <c:pt idx="27">
                  <c:v>12.054085487845775</c:v>
                </c:pt>
                <c:pt idx="28">
                  <c:v>12.228309024722739</c:v>
                </c:pt>
                <c:pt idx="29">
                  <c:v>13.118657169492215</c:v>
                </c:pt>
                <c:pt idx="30">
                  <c:v>14.031018823676542</c:v>
                </c:pt>
                <c:pt idx="31">
                  <c:v>14.031018823676542</c:v>
                </c:pt>
                <c:pt idx="32">
                  <c:v>14.031018823676542</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33.804307822467223</c:v>
                </c:pt>
                <c:pt idx="7">
                  <c:v>34.048937301737944</c:v>
                </c:pt>
                <c:pt idx="8">
                  <c:v>30.674961643220815</c:v>
                </c:pt>
                <c:pt idx="9">
                  <c:v>31.409797709953747</c:v>
                </c:pt>
                <c:pt idx="10">
                  <c:v>32.359708171450215</c:v>
                </c:pt>
                <c:pt idx="11">
                  <c:v>33.373622053330564</c:v>
                </c:pt>
                <c:pt idx="12">
                  <c:v>34.341373138943283</c:v>
                </c:pt>
                <c:pt idx="13">
                  <c:v>35.268394111074024</c:v>
                </c:pt>
                <c:pt idx="14">
                  <c:v>36.605079014787655</c:v>
                </c:pt>
                <c:pt idx="15">
                  <c:v>37.91882077464156</c:v>
                </c:pt>
                <c:pt idx="16">
                  <c:v>39.283809655520606</c:v>
                </c:pt>
                <c:pt idx="17">
                  <c:v>40.823364741271384</c:v>
                </c:pt>
                <c:pt idx="18">
                  <c:v>42.176437737808243</c:v>
                </c:pt>
                <c:pt idx="19">
                  <c:v>43.733525201475075</c:v>
                </c:pt>
                <c:pt idx="20">
                  <c:v>45.104580798258311</c:v>
                </c:pt>
                <c:pt idx="21">
                  <c:v>46.611003242354435</c:v>
                </c:pt>
                <c:pt idx="22">
                  <c:v>48.203118003319283</c:v>
                </c:pt>
                <c:pt idx="23">
                  <c:v>49.874111716554246</c:v>
                </c:pt>
                <c:pt idx="24">
                  <c:v>51.517673605292359</c:v>
                </c:pt>
                <c:pt idx="25">
                  <c:v>53.154590398527901</c:v>
                </c:pt>
                <c:pt idx="26">
                  <c:v>54.732648125781083</c:v>
                </c:pt>
                <c:pt idx="27">
                  <c:v>56.31047755429411</c:v>
                </c:pt>
                <c:pt idx="28">
                  <c:v>57.912186961299497</c:v>
                </c:pt>
                <c:pt idx="29">
                  <c:v>66.910941235424843</c:v>
                </c:pt>
                <c:pt idx="30">
                  <c:v>75.561479500453586</c:v>
                </c:pt>
                <c:pt idx="31">
                  <c:v>75.561479500453586</c:v>
                </c:pt>
                <c:pt idx="32">
                  <c:v>75.561479500453586</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RES!$J$122:$AP$122</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5.6885885592488448</c:v>
                </c:pt>
                <c:pt idx="7">
                  <c:v>5.7297548054072571</c:v>
                </c:pt>
                <c:pt idx="8">
                  <c:v>5.1619822176346313</c:v>
                </c:pt>
                <c:pt idx="9">
                  <c:v>5.2856404230945317</c:v>
                </c:pt>
                <c:pt idx="10">
                  <c:v>5.4454913454076985</c:v>
                </c:pt>
                <c:pt idx="11">
                  <c:v>5.6161127626193466</c:v>
                </c:pt>
                <c:pt idx="12">
                  <c:v>5.7789659049682127</c:v>
                </c:pt>
                <c:pt idx="13">
                  <c:v>5.9349649842554326</c:v>
                </c:pt>
                <c:pt idx="14">
                  <c:v>6.1599023055731701</c:v>
                </c:pt>
                <c:pt idx="15">
                  <c:v>6.3809787548872832</c:v>
                </c:pt>
                <c:pt idx="16">
                  <c:v>6.6106790691800574</c:v>
                </c:pt>
                <c:pt idx="17">
                  <c:v>6.8697553825638362</c:v>
                </c:pt>
                <c:pt idx="18">
                  <c:v>7.0974504919668</c:v>
                </c:pt>
                <c:pt idx="19">
                  <c:v>7.359477153719002</c:v>
                </c:pt>
                <c:pt idx="20">
                  <c:v>7.5901983748993258</c:v>
                </c:pt>
                <c:pt idx="21">
                  <c:v>7.8436991276994013</c:v>
                </c:pt>
                <c:pt idx="22">
                  <c:v>8.1116201826667336</c:v>
                </c:pt>
                <c:pt idx="23">
                  <c:v>8.3928149868794524</c:v>
                </c:pt>
                <c:pt idx="24">
                  <c:v>8.6693935639588826</c:v>
                </c:pt>
                <c:pt idx="25">
                  <c:v>8.9448539044381281</c:v>
                </c:pt>
                <c:pt idx="26">
                  <c:v>9.210409441922625</c:v>
                </c:pt>
                <c:pt idx="27">
                  <c:v>9.4759265612975678</c:v>
                </c:pt>
                <c:pt idx="28">
                  <c:v>9.7454622031981071</c:v>
                </c:pt>
                <c:pt idx="29">
                  <c:v>11.25977247631835</c:v>
                </c:pt>
                <c:pt idx="30">
                  <c:v>12.715484963147649</c:v>
                </c:pt>
                <c:pt idx="31">
                  <c:v>12.715484963147649</c:v>
                </c:pt>
                <c:pt idx="32">
                  <c:v>12.715484963147649</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RES!$J$123:$AP$123</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8.0108006278631798</c:v>
                </c:pt>
                <c:pt idx="7">
                  <c:v>8.0687718780490307</c:v>
                </c:pt>
                <c:pt idx="8">
                  <c:v>7.2692215229407262</c:v>
                </c:pt>
                <c:pt idx="9">
                  <c:v>7.4433598385564741</c:v>
                </c:pt>
                <c:pt idx="10">
                  <c:v>7.6684655665404149</c:v>
                </c:pt>
                <c:pt idx="11">
                  <c:v>7.9087385519901581</c:v>
                </c:pt>
                <c:pt idx="12">
                  <c:v>8.1380720749528486</c:v>
                </c:pt>
                <c:pt idx="13">
                  <c:v>8.3577535494142676</c:v>
                </c:pt>
                <c:pt idx="14">
                  <c:v>8.6745154343834869</c:v>
                </c:pt>
                <c:pt idx="15">
                  <c:v>8.9858403510171332</c:v>
                </c:pt>
                <c:pt idx="16">
                  <c:v>9.3093095917245154</c:v>
                </c:pt>
                <c:pt idx="17">
                  <c:v>9.6741467868042914</c:v>
                </c:pt>
                <c:pt idx="18">
                  <c:v>9.9947922520842578</c:v>
                </c:pt>
                <c:pt idx="19">
                  <c:v>10.363784195273519</c:v>
                </c:pt>
                <c:pt idx="20">
                  <c:v>10.688691100429752</c:v>
                </c:pt>
                <c:pt idx="21">
                  <c:v>11.045676663464176</c:v>
                </c:pt>
                <c:pt idx="22">
                  <c:v>11.422969226108833</c:v>
                </c:pt>
                <c:pt idx="23">
                  <c:v>11.81895418629315</c:v>
                </c:pt>
                <c:pt idx="24">
                  <c:v>12.208438469757301</c:v>
                </c:pt>
                <c:pt idx="25">
                  <c:v>12.596348026843271</c:v>
                </c:pt>
                <c:pt idx="26">
                  <c:v>12.97030941361902</c:v>
                </c:pt>
                <c:pt idx="27">
                  <c:v>13.344216699133456</c:v>
                </c:pt>
                <c:pt idx="28">
                  <c:v>13.723782960057317</c:v>
                </c:pt>
                <c:pt idx="29">
                  <c:v>15.856269351073989</c:v>
                </c:pt>
                <c:pt idx="30">
                  <c:v>17.906236998060969</c:v>
                </c:pt>
                <c:pt idx="31">
                  <c:v>17.906236998060969</c:v>
                </c:pt>
                <c:pt idx="32">
                  <c:v>17.906236998060969</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RES!$J$124:$AP$124</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34.929509445948547</c:v>
                </c:pt>
                <c:pt idx="7">
                  <c:v>35.182281600072201</c:v>
                </c:pt>
                <c:pt idx="8">
                  <c:v>31.696000642819545</c:v>
                </c:pt>
                <c:pt idx="9">
                  <c:v>32.455296276647388</c:v>
                </c:pt>
                <c:pt idx="10">
                  <c:v>33.436825217038646</c:v>
                </c:pt>
                <c:pt idx="11">
                  <c:v>34.484487979444921</c:v>
                </c:pt>
                <c:pt idx="12">
                  <c:v>35.484451382445584</c:v>
                </c:pt>
                <c:pt idx="13">
                  <c:v>36.442328939728746</c:v>
                </c:pt>
                <c:pt idx="14">
                  <c:v>37.823506398404326</c:v>
                </c:pt>
                <c:pt idx="15">
                  <c:v>39.180977033547919</c:v>
                </c:pt>
                <c:pt idx="16">
                  <c:v>40.591400588400035</c:v>
                </c:pt>
                <c:pt idx="17">
                  <c:v>42.182200914580626</c:v>
                </c:pt>
                <c:pt idx="18">
                  <c:v>43.580311955984072</c:v>
                </c:pt>
                <c:pt idx="19">
                  <c:v>45.189228238368969</c:v>
                </c:pt>
                <c:pt idx="20">
                  <c:v>46.605920444293432</c:v>
                </c:pt>
                <c:pt idx="21">
                  <c:v>48.162485284105735</c:v>
                </c:pt>
                <c:pt idx="22">
                  <c:v>49.807594773529885</c:v>
                </c:pt>
                <c:pt idx="23">
                  <c:v>51.534208760039888</c:v>
                </c:pt>
                <c:pt idx="24">
                  <c:v>53.232477833294617</c:v>
                </c:pt>
                <c:pt idx="25">
                  <c:v>54.923880624081882</c:v>
                </c:pt>
                <c:pt idx="26">
                  <c:v>56.554465180932574</c:v>
                </c:pt>
                <c:pt idx="27">
                  <c:v>58.184813839949101</c:v>
                </c:pt>
                <c:pt idx="28">
                  <c:v>59.839837340370416</c:v>
                </c:pt>
                <c:pt idx="29">
                  <c:v>69.138121868797427</c:v>
                </c:pt>
                <c:pt idx="30">
                  <c:v>78.076599758294051</c:v>
                </c:pt>
                <c:pt idx="31">
                  <c:v>78.076599758294051</c:v>
                </c:pt>
                <c:pt idx="32">
                  <c:v>78.076599758294051</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RES!$J$125:$AP$125</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7.2188744194089196</c:v>
                </c:pt>
                <c:pt idx="7">
                  <c:v>7.2711147876902382</c:v>
                </c:pt>
                <c:pt idx="8">
                  <c:v>6.5506058306398049</c:v>
                </c:pt>
                <c:pt idx="9">
                  <c:v>6.7075293006441754</c:v>
                </c:pt>
                <c:pt idx="10">
                  <c:v>6.9103816816850392</c:v>
                </c:pt>
                <c:pt idx="11">
                  <c:v>7.1269019259044768</c:v>
                </c:pt>
                <c:pt idx="12">
                  <c:v>7.3335641534813334</c:v>
                </c:pt>
                <c:pt idx="13">
                  <c:v>7.5315285081167058</c:v>
                </c:pt>
                <c:pt idx="14">
                  <c:v>7.8169761649332496</c:v>
                </c:pt>
                <c:pt idx="15">
                  <c:v>8.0975243374834793</c:v>
                </c:pt>
                <c:pt idx="16">
                  <c:v>8.3890162788864728</c:v>
                </c:pt>
                <c:pt idx="17">
                  <c:v>8.7177866499339949</c:v>
                </c:pt>
                <c:pt idx="18">
                  <c:v>9.0067339667549913</c:v>
                </c:pt>
                <c:pt idx="19">
                  <c:v>9.3392483586863104</c:v>
                </c:pt>
                <c:pt idx="20">
                  <c:v>9.632035840896723</c:v>
                </c:pt>
                <c:pt idx="21">
                  <c:v>9.9537307711292957</c:v>
                </c:pt>
                <c:pt idx="22">
                  <c:v>10.293725205597609</c:v>
                </c:pt>
                <c:pt idx="23">
                  <c:v>10.650564157450006</c:v>
                </c:pt>
                <c:pt idx="24">
                  <c:v>11.001545072002008</c:v>
                </c:pt>
                <c:pt idx="25">
                  <c:v>11.351106933391025</c:v>
                </c:pt>
                <c:pt idx="26">
                  <c:v>11.68809950307906</c:v>
                </c:pt>
                <c:pt idx="27">
                  <c:v>12.025043319810994</c:v>
                </c:pt>
                <c:pt idx="28">
                  <c:v>12.367086680860767</c:v>
                </c:pt>
                <c:pt idx="29">
                  <c:v>14.288761201670079</c:v>
                </c:pt>
                <c:pt idx="30">
                  <c:v>16.136074559585666</c:v>
                </c:pt>
                <c:pt idx="31">
                  <c:v>16.136074559585666</c:v>
                </c:pt>
                <c:pt idx="32">
                  <c:v>16.136074559585666</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RES!$J$126:$AP$126</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6.06349594593636</c:v>
                </c:pt>
                <c:pt idx="7">
                  <c:v>6.1073752604782978</c:v>
                </c:pt>
                <c:pt idx="8">
                  <c:v>5.5021835247223718</c:v>
                </c:pt>
                <c:pt idx="9">
                  <c:v>5.6339914450313211</c:v>
                </c:pt>
                <c:pt idx="10">
                  <c:v>5.8043773692908989</c:v>
                </c:pt>
                <c:pt idx="11">
                  <c:v>5.9862436197284854</c:v>
                </c:pt>
                <c:pt idx="12">
                  <c:v>6.159829625840648</c:v>
                </c:pt>
                <c:pt idx="13">
                  <c:v>6.3261098507111857</c:v>
                </c:pt>
                <c:pt idx="14">
                  <c:v>6.5658717040592132</c:v>
                </c:pt>
                <c:pt idx="15">
                  <c:v>6.8015182339842282</c:v>
                </c:pt>
                <c:pt idx="16">
                  <c:v>7.0463569861611752</c:v>
                </c:pt>
                <c:pt idx="17">
                  <c:v>7.322507767594753</c:v>
                </c:pt>
                <c:pt idx="18">
                  <c:v>7.5652091615160453</c:v>
                </c:pt>
                <c:pt idx="19">
                  <c:v>7.8445047345239667</c:v>
                </c:pt>
                <c:pt idx="20">
                  <c:v>8.0904316766287607</c:v>
                </c:pt>
                <c:pt idx="21">
                  <c:v>8.360639439219705</c:v>
                </c:pt>
                <c:pt idx="22">
                  <c:v>8.6462178764199376</c:v>
                </c:pt>
                <c:pt idx="23">
                  <c:v>8.9459448715442491</c:v>
                </c:pt>
                <c:pt idx="24">
                  <c:v>9.2407514063088971</c:v>
                </c:pt>
                <c:pt idx="25">
                  <c:v>9.5343660069019656</c:v>
                </c:pt>
                <c:pt idx="26">
                  <c:v>9.8174230267914169</c:v>
                </c:pt>
                <c:pt idx="27">
                  <c:v>10.100439096619334</c:v>
                </c:pt>
                <c:pt idx="28">
                  <c:v>10.387738530376428</c:v>
                </c:pt>
                <c:pt idx="29">
                  <c:v>12.001849676985143</c:v>
                </c:pt>
                <c:pt idx="30">
                  <c:v>13.553501140332305</c:v>
                </c:pt>
                <c:pt idx="31">
                  <c:v>13.553501140332305</c:v>
                </c:pt>
                <c:pt idx="32">
                  <c:v>13.553501140332305</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13.571541461236034</c:v>
                </c:pt>
                <c:pt idx="7">
                  <c:v>13.669753770093209</c:v>
                </c:pt>
                <c:pt idx="8">
                  <c:v>12.31519118655369</c:v>
                </c:pt>
                <c:pt idx="9">
                  <c:v>12.610208561240162</c:v>
                </c:pt>
                <c:pt idx="10">
                  <c:v>12.991572654845207</c:v>
                </c:pt>
                <c:pt idx="11">
                  <c:v>13.398632440193525</c:v>
                </c:pt>
                <c:pt idx="12">
                  <c:v>13.787159075660382</c:v>
                </c:pt>
                <c:pt idx="13">
                  <c:v>14.159333640653129</c:v>
                </c:pt>
                <c:pt idx="14">
                  <c:v>14.695977511210389</c:v>
                </c:pt>
                <c:pt idx="15">
                  <c:v>15.223410312285656</c:v>
                </c:pt>
                <c:pt idx="16">
                  <c:v>15.771417486053727</c:v>
                </c:pt>
                <c:pt idx="17">
                  <c:v>16.389508404757191</c:v>
                </c:pt>
                <c:pt idx="18">
                  <c:v>16.932731664023994</c:v>
                </c:pt>
                <c:pt idx="19">
                  <c:v>17.557861371838342</c:v>
                </c:pt>
                <c:pt idx="20">
                  <c:v>18.10830417265311</c:v>
                </c:pt>
                <c:pt idx="21">
                  <c:v>18.713093206215252</c:v>
                </c:pt>
                <c:pt idx="22">
                  <c:v>19.352285453634071</c:v>
                </c:pt>
                <c:pt idx="23">
                  <c:v>20.023145528028515</c:v>
                </c:pt>
                <c:pt idx="24">
                  <c:v>20.682992445594795</c:v>
                </c:pt>
                <c:pt idx="25">
                  <c:v>21.340171531901209</c:v>
                </c:pt>
                <c:pt idx="26">
                  <c:v>21.973720249600625</c:v>
                </c:pt>
                <c:pt idx="27">
                  <c:v>22.607177311353887</c:v>
                </c:pt>
                <c:pt idx="28">
                  <c:v>23.250221557080994</c:v>
                </c:pt>
                <c:pt idx="29">
                  <c:v>26.862984976824745</c:v>
                </c:pt>
                <c:pt idx="30">
                  <c:v>30.335948817481128</c:v>
                </c:pt>
                <c:pt idx="31">
                  <c:v>30.335948817481128</c:v>
                </c:pt>
                <c:pt idx="32">
                  <c:v>30.335948817481128</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26.517696951596729</c:v>
                </c:pt>
                <c:pt idx="1">
                  <c:v>26.582724136783497</c:v>
                </c:pt>
                <c:pt idx="2">
                  <c:v>26.3643490923054</c:v>
                </c:pt>
                <c:pt idx="3">
                  <c:v>26.235573092134736</c:v>
                </c:pt>
                <c:pt idx="4">
                  <c:v>26.267645477312975</c:v>
                </c:pt>
                <c:pt idx="5">
                  <c:v>26.125950018985858</c:v>
                </c:pt>
                <c:pt idx="6">
                  <c:v>26.001472962860248</c:v>
                </c:pt>
                <c:pt idx="7">
                  <c:v>26.11047382042366</c:v>
                </c:pt>
                <c:pt idx="8">
                  <c:v>27.09455867738976</c:v>
                </c:pt>
                <c:pt idx="9">
                  <c:v>28.161364268191221</c:v>
                </c:pt>
                <c:pt idx="10">
                  <c:v>28.051707256010406</c:v>
                </c:pt>
                <c:pt idx="11">
                  <c:v>27.941778731574107</c:v>
                </c:pt>
                <c:pt idx="12">
                  <c:v>27.823014745824167</c:v>
                </c:pt>
                <c:pt idx="13">
                  <c:v>27.724399232032759</c:v>
                </c:pt>
                <c:pt idx="14">
                  <c:v>27.539488073042207</c:v>
                </c:pt>
              </c:numCache>
            </c:numRef>
          </c:val>
          <c:smooth val="0"/>
          <c:extLst>
            <c:ext xmlns:c16="http://schemas.microsoft.com/office/drawing/2014/chart" uri="{C3380CC4-5D6E-409C-BE32-E72D297353CC}">
              <c16:uniqueId val="{00000000-D5F4-44C7-A03B-D6817BDCF180}"/>
            </c:ext>
          </c:extLst>
        </c:ser>
        <c:ser>
          <c:idx val="1"/>
          <c:order val="1"/>
          <c:spPr>
            <a:ln w="28575" cap="rnd">
              <a:solidFill>
                <a:schemeClr val="accent2"/>
              </a:solidFill>
              <a:round/>
            </a:ln>
            <a:effectLst/>
          </c:spPr>
          <c:marker>
            <c:symbol val="none"/>
          </c:marker>
          <c:val>
            <c:numRef>
              <c:f>RES!$J$23:$X$23</c:f>
              <c:numCache>
                <c:formatCode>0.0</c:formatCode>
                <c:ptCount val="15"/>
                <c:pt idx="0">
                  <c:v>15.910618170958038</c:v>
                </c:pt>
                <c:pt idx="1">
                  <c:v>15.863884123984045</c:v>
                </c:pt>
                <c:pt idx="2">
                  <c:v>16.194540799112573</c:v>
                </c:pt>
                <c:pt idx="3">
                  <c:v>16.521147416430232</c:v>
                </c:pt>
                <c:pt idx="4">
                  <c:v>16.795171160270495</c:v>
                </c:pt>
                <c:pt idx="5">
                  <c:v>17.004099840860121</c:v>
                </c:pt>
                <c:pt idx="6">
                  <c:v>17.351205633466304</c:v>
                </c:pt>
                <c:pt idx="7">
                  <c:v>17.684000467606715</c:v>
                </c:pt>
                <c:pt idx="8">
                  <c:v>18.506614723638457</c:v>
                </c:pt>
                <c:pt idx="9">
                  <c:v>17.704839033214579</c:v>
                </c:pt>
                <c:pt idx="10">
                  <c:v>17.997461366555022</c:v>
                </c:pt>
                <c:pt idx="11">
                  <c:v>18.267231418392807</c:v>
                </c:pt>
                <c:pt idx="12">
                  <c:v>18.56323634191607</c:v>
                </c:pt>
                <c:pt idx="13">
                  <c:v>18.854444548925905</c:v>
                </c:pt>
                <c:pt idx="14">
                  <c:v>19.12254027518825</c:v>
                </c:pt>
              </c:numCache>
            </c:numRef>
          </c:val>
          <c:smooth val="0"/>
          <c:extLst>
            <c:ext xmlns:c16="http://schemas.microsoft.com/office/drawing/2014/chart" uri="{C3380CC4-5D6E-409C-BE32-E72D297353CC}">
              <c16:uniqueId val="{00000001-D5F4-44C7-A03B-D6817BDCF180}"/>
            </c:ext>
          </c:extLst>
        </c:ser>
        <c:ser>
          <c:idx val="2"/>
          <c:order val="2"/>
          <c:spPr>
            <a:ln w="28575" cap="rnd">
              <a:solidFill>
                <a:schemeClr val="accent3"/>
              </a:solidFill>
              <a:round/>
            </a:ln>
            <a:effectLst/>
          </c:spPr>
          <c:marker>
            <c:symbol val="none"/>
          </c:marker>
          <c:val>
            <c:numRef>
              <c:f>RES!$J$24:$X$24</c:f>
              <c:numCache>
                <c:formatCode>0.0</c:formatCode>
                <c:ptCount val="15"/>
                <c:pt idx="0">
                  <c:v>10.603684877445227</c:v>
                </c:pt>
                <c:pt idx="1">
                  <c:v>11.067391739232461</c:v>
                </c:pt>
                <c:pt idx="2">
                  <c:v>11.441110108582027</c:v>
                </c:pt>
                <c:pt idx="3">
                  <c:v>11.733279491435036</c:v>
                </c:pt>
                <c:pt idx="4">
                  <c:v>11.962183362416532</c:v>
                </c:pt>
                <c:pt idx="5">
                  <c:v>12.42895014015402</c:v>
                </c:pt>
                <c:pt idx="6">
                  <c:v>12.741321403673446</c:v>
                </c:pt>
                <c:pt idx="7">
                  <c:v>12.833525711969621</c:v>
                </c:pt>
                <c:pt idx="8">
                  <c:v>11.561826598971781</c:v>
                </c:pt>
                <c:pt idx="9">
                  <c:v>11.838796698594196</c:v>
                </c:pt>
                <c:pt idx="10">
                  <c:v>12.196831377434572</c:v>
                </c:pt>
                <c:pt idx="11">
                  <c:v>12.578989850033075</c:v>
                </c:pt>
                <c:pt idx="12">
                  <c:v>12.943748912259764</c:v>
                </c:pt>
                <c:pt idx="13">
                  <c:v>13.293156219041338</c:v>
                </c:pt>
                <c:pt idx="14">
                  <c:v>13.796971651769542</c:v>
                </c:pt>
              </c:numCache>
            </c:numRef>
          </c:val>
          <c:smooth val="0"/>
          <c:extLst>
            <c:ext xmlns:c16="http://schemas.microsoft.com/office/drawing/2014/chart" uri="{C3380CC4-5D6E-409C-BE32-E72D297353CC}">
              <c16:uniqueId val="{00000002-D5F4-44C7-A03B-D6817BDCF180}"/>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AFFB-4B3E-9BAF-5E386AF87329}"/>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7.1739801937789451</c:v>
                </c:pt>
                <c:pt idx="10">
                  <c:v>9.4217756264642922</c:v>
                </c:pt>
                <c:pt idx="11">
                  <c:v>11.651609930900069</c:v>
                </c:pt>
                <c:pt idx="12">
                  <c:v>13.847239407369514</c:v>
                </c:pt>
                <c:pt idx="13">
                  <c:v>16.07272794248329</c:v>
                </c:pt>
                <c:pt idx="14">
                  <c:v>18.477419382150376</c:v>
                </c:pt>
                <c:pt idx="15">
                  <c:v>20.853434005163518</c:v>
                </c:pt>
                <c:pt idx="16">
                  <c:v>23.272207435330227</c:v>
                </c:pt>
                <c:pt idx="17">
                  <c:v>25.7178529485784</c:v>
                </c:pt>
                <c:pt idx="18">
                  <c:v>28.186694825727532</c:v>
                </c:pt>
                <c:pt idx="19">
                  <c:v>28.186694825727532</c:v>
                </c:pt>
                <c:pt idx="20">
                  <c:v>28.186694825727532</c:v>
                </c:pt>
                <c:pt idx="21">
                  <c:v>28.186694825727532</c:v>
                </c:pt>
                <c:pt idx="22">
                  <c:v>28.186694825727532</c:v>
                </c:pt>
                <c:pt idx="23">
                  <c:v>28.186694825727532</c:v>
                </c:pt>
                <c:pt idx="24">
                  <c:v>28.186694825727532</c:v>
                </c:pt>
                <c:pt idx="25">
                  <c:v>28.186694825727532</c:v>
                </c:pt>
                <c:pt idx="26">
                  <c:v>28.186694825727532</c:v>
                </c:pt>
                <c:pt idx="27">
                  <c:v>28.186694825727532</c:v>
                </c:pt>
                <c:pt idx="28">
                  <c:v>28.186694825727532</c:v>
                </c:pt>
                <c:pt idx="29">
                  <c:v>28.186694825727532</c:v>
                </c:pt>
                <c:pt idx="30">
                  <c:v>28.186694825727532</c:v>
                </c:pt>
                <c:pt idx="31">
                  <c:v>28.186694825727532</c:v>
                </c:pt>
                <c:pt idx="32">
                  <c:v>28.186694825727532</c:v>
                </c:pt>
                <c:pt idx="33">
                  <c:v>28.186694825727532</c:v>
                </c:pt>
                <c:pt idx="34">
                  <c:v>28.186694825727532</c:v>
                </c:pt>
                <c:pt idx="35">
                  <c:v>28.186694825727532</c:v>
                </c:pt>
                <c:pt idx="36">
                  <c:v>28.186694825727532</c:v>
                </c:pt>
                <c:pt idx="37">
                  <c:v>28.186694825727532</c:v>
                </c:pt>
                <c:pt idx="38">
                  <c:v>28.186694825727532</c:v>
                </c:pt>
              </c:numCache>
            </c:numRef>
          </c:val>
          <c:extLst>
            <c:ext xmlns:c16="http://schemas.microsoft.com/office/drawing/2014/chart" uri="{C3380CC4-5D6E-409C-BE32-E72D297353CC}">
              <c16:uniqueId val="{00000001-AFFB-4B3E-9BAF-5E386AF87329}"/>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2.6705955667718371</c:v>
                </c:pt>
                <c:pt idx="20">
                  <c:v>5.294373207953587</c:v>
                </c:pt>
                <c:pt idx="21">
                  <c:v>8.0361634469374899</c:v>
                </c:pt>
                <c:pt idx="22">
                  <c:v>10.869252086750908</c:v>
                </c:pt>
                <c:pt idx="23">
                  <c:v>13.78382234368144</c:v>
                </c:pt>
                <c:pt idx="24">
                  <c:v>16.751984166996497</c:v>
                </c:pt>
                <c:pt idx="25">
                  <c:v>19.764263898329677</c:v>
                </c:pt>
                <c:pt idx="26">
                  <c:v>22.77828977703685</c:v>
                </c:pt>
                <c:pt idx="27">
                  <c:v>25.838657946208269</c:v>
                </c:pt>
                <c:pt idx="28">
                  <c:v>28.984564843629027</c:v>
                </c:pt>
                <c:pt idx="29">
                  <c:v>28.984564843629027</c:v>
                </c:pt>
                <c:pt idx="30">
                  <c:v>28.984564843629027</c:v>
                </c:pt>
                <c:pt idx="31">
                  <c:v>28.984564843629027</c:v>
                </c:pt>
                <c:pt idx="32">
                  <c:v>28.984564843629027</c:v>
                </c:pt>
                <c:pt idx="33">
                  <c:v>28.984564843629027</c:v>
                </c:pt>
                <c:pt idx="34">
                  <c:v>28.984564843629027</c:v>
                </c:pt>
                <c:pt idx="35">
                  <c:v>28.984564843629027</c:v>
                </c:pt>
                <c:pt idx="36">
                  <c:v>28.984564843629027</c:v>
                </c:pt>
                <c:pt idx="37">
                  <c:v>28.984564843629027</c:v>
                </c:pt>
                <c:pt idx="38">
                  <c:v>28.984564843629027</c:v>
                </c:pt>
              </c:numCache>
            </c:numRef>
          </c:val>
          <c:extLst>
            <c:ext xmlns:c16="http://schemas.microsoft.com/office/drawing/2014/chart" uri="{C3380CC4-5D6E-409C-BE32-E72D297353CC}">
              <c16:uniqueId val="{00000002-AFFB-4B3E-9BAF-5E386AF87329}"/>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3.3823221444827354</c:v>
                </c:pt>
                <c:pt idx="30">
                  <c:v>6.7209075620425196</c:v>
                </c:pt>
                <c:pt idx="31">
                  <c:v>10.018033934151433</c:v>
                </c:pt>
                <c:pt idx="32">
                  <c:v>13.275790442122599</c:v>
                </c:pt>
                <c:pt idx="33">
                  <c:v>16.496098788315933</c:v>
                </c:pt>
                <c:pt idx="34">
                  <c:v>20.201001463203923</c:v>
                </c:pt>
                <c:pt idx="35">
                  <c:v>23.853018544635475</c:v>
                </c:pt>
                <c:pt idx="36">
                  <c:v>27.455060126939586</c:v>
                </c:pt>
                <c:pt idx="37">
                  <c:v>31.009782292913727</c:v>
                </c:pt>
                <c:pt idx="38">
                  <c:v>34.689069654051693</c:v>
                </c:pt>
              </c:numCache>
            </c:numRef>
          </c:val>
          <c:extLst>
            <c:ext xmlns:c16="http://schemas.microsoft.com/office/drawing/2014/chart" uri="{C3380CC4-5D6E-409C-BE32-E72D297353CC}">
              <c16:uniqueId val="{00000003-AFFB-4B3E-9BAF-5E386AF87329}"/>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6.0488138591626592</c:v>
                </c:pt>
                <c:pt idx="10">
                  <c:v>7.7403712998837166</c:v>
                </c:pt>
                <c:pt idx="11">
                  <c:v>9.3203688741353421</c:v>
                </c:pt>
                <c:pt idx="12">
                  <c:v>10.777329015219186</c:v>
                </c:pt>
                <c:pt idx="13">
                  <c:v>12.16194619481365</c:v>
                </c:pt>
                <c:pt idx="14">
                  <c:v>13.582060883437038</c:v>
                </c:pt>
                <c:pt idx="15">
                  <c:v>14.877739889458754</c:v>
                </c:pt>
                <c:pt idx="16">
                  <c:v>16.100264002882231</c:v>
                </c:pt>
                <c:pt idx="17">
                  <c:v>17.236212604013634</c:v>
                </c:pt>
                <c:pt idx="18">
                  <c:v>18.28145879548449</c:v>
                </c:pt>
                <c:pt idx="19">
                  <c:v>19.996245125845302</c:v>
                </c:pt>
                <c:pt idx="20">
                  <c:v>21.680969720233577</c:v>
                </c:pt>
                <c:pt idx="21">
                  <c:v>23.441470067431219</c:v>
                </c:pt>
                <c:pt idx="22">
                  <c:v>25.26059301240225</c:v>
                </c:pt>
                <c:pt idx="23">
                  <c:v>27.1320352096579</c:v>
                </c:pt>
                <c:pt idx="24">
                  <c:v>29.037888489820382</c:v>
                </c:pt>
                <c:pt idx="25">
                  <c:v>30.972069827789475</c:v>
                </c:pt>
                <c:pt idx="26">
                  <c:v>32.907372364971572</c:v>
                </c:pt>
                <c:pt idx="27">
                  <c:v>34.872431233361006</c:v>
                </c:pt>
                <c:pt idx="28">
                  <c:v>36.892414420409338</c:v>
                </c:pt>
                <c:pt idx="29">
                  <c:v>47.272697888738946</c:v>
                </c:pt>
                <c:pt idx="30">
                  <c:v>58.720749766990238</c:v>
                </c:pt>
                <c:pt idx="31" formatCode="0.00">
                  <c:v>58.720749766990238</c:v>
                </c:pt>
                <c:pt idx="32" formatCode="0.00">
                  <c:v>58.720749766990238</c:v>
                </c:pt>
              </c:numCache>
            </c:numRef>
          </c:val>
          <c:smooth val="0"/>
          <c:extLst>
            <c:ext xmlns:c16="http://schemas.microsoft.com/office/drawing/2014/chart" uri="{C3380CC4-5D6E-409C-BE32-E72D297353CC}">
              <c16:uniqueId val="{00000000-EA28-4A81-B01D-D4DD5A92369D}"/>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0.57685322811145179</c:v>
                </c:pt>
                <c:pt idx="10">
                  <c:v>0.73817086706272961</c:v>
                </c:pt>
                <c:pt idx="11">
                  <c:v>0.88884945006040228</c:v>
                </c:pt>
                <c:pt idx="12">
                  <c:v>1.0277944035971733</c:v>
                </c:pt>
                <c:pt idx="13">
                  <c:v>1.1598402738032385</c:v>
                </c:pt>
                <c:pt idx="14">
                  <c:v>1.2952714114600838</c:v>
                </c:pt>
                <c:pt idx="15">
                  <c:v>1.4188355737276477</c:v>
                </c:pt>
                <c:pt idx="16">
                  <c:v>1.5354232217677954</c:v>
                </c:pt>
                <c:pt idx="17">
                  <c:v>1.6437544802241517</c:v>
                </c:pt>
                <c:pt idx="18">
                  <c:v>1.743435782006618</c:v>
                </c:pt>
                <c:pt idx="19">
                  <c:v>1.9069686751029447</c:v>
                </c:pt>
                <c:pt idx="20">
                  <c:v>2.0676346905200838</c:v>
                </c:pt>
                <c:pt idx="21">
                  <c:v>2.2355271620058694</c:v>
                </c:pt>
                <c:pt idx="22">
                  <c:v>2.4090102559761992</c:v>
                </c:pt>
                <c:pt idx="23">
                  <c:v>2.5874828454534939</c:v>
                </c:pt>
                <c:pt idx="24">
                  <c:v>2.7692370939005966</c:v>
                </c:pt>
                <c:pt idx="25">
                  <c:v>2.9536928854886106</c:v>
                </c:pt>
                <c:pt idx="26">
                  <c:v>3.138255601739945</c:v>
                </c:pt>
                <c:pt idx="27">
                  <c:v>3.3256560703363447</c:v>
                </c:pt>
                <c:pt idx="28">
                  <c:v>3.5182944700805541</c:v>
                </c:pt>
                <c:pt idx="29">
                  <c:v>4.5082240937781792</c:v>
                </c:pt>
                <c:pt idx="30">
                  <c:v>5.5999828807597307</c:v>
                </c:pt>
                <c:pt idx="31" formatCode="0.00">
                  <c:v>5.5999828807597307</c:v>
                </c:pt>
                <c:pt idx="32" formatCode="0.00">
                  <c:v>5.5999828807597307</c:v>
                </c:pt>
              </c:numCache>
            </c:numRef>
          </c:val>
          <c:smooth val="0"/>
          <c:extLst>
            <c:ext xmlns:c16="http://schemas.microsoft.com/office/drawing/2014/chart" uri="{C3380CC4-5D6E-409C-BE32-E72D297353CC}">
              <c16:uniqueId val="{00000001-EA28-4A81-B01D-D4DD5A92369D}"/>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0.1128855701047503</c:v>
                </c:pt>
                <c:pt idx="7">
                  <c:v>0.23344520091472726</c:v>
                </c:pt>
                <c:pt idx="8">
                  <c:v>0.30208285507355981</c:v>
                </c:pt>
                <c:pt idx="9">
                  <c:v>0.43145666787482001</c:v>
                </c:pt>
                <c:pt idx="10">
                  <c:v>0.55211399902856739</c:v>
                </c:pt>
                <c:pt idx="11">
                  <c:v>0.66481386126755415</c:v>
                </c:pt>
                <c:pt idx="12">
                  <c:v>0.76873756967300377</c:v>
                </c:pt>
                <c:pt idx="13">
                  <c:v>0.867501117122083</c:v>
                </c:pt>
                <c:pt idx="14">
                  <c:v>0.96879667122900903</c:v>
                </c:pt>
                <c:pt idx="15">
                  <c:v>1.0612163355780249</c:v>
                </c:pt>
                <c:pt idx="16">
                  <c:v>1.148417924625986</c:v>
                </c:pt>
                <c:pt idx="17">
                  <c:v>1.2294441571622712</c:v>
                </c:pt>
                <c:pt idx="18">
                  <c:v>1.3040006651622194</c:v>
                </c:pt>
                <c:pt idx="19">
                  <c:v>1.4263148929498779</c:v>
                </c:pt>
                <c:pt idx="20">
                  <c:v>1.5464848430766198</c:v>
                </c:pt>
                <c:pt idx="21">
                  <c:v>1.672059812199493</c:v>
                </c:pt>
                <c:pt idx="22">
                  <c:v>1.8018162805859215</c:v>
                </c:pt>
                <c:pt idx="23">
                  <c:v>1.9353046360467441</c:v>
                </c:pt>
                <c:pt idx="24">
                  <c:v>2.0712475043285314</c:v>
                </c:pt>
                <c:pt idx="25">
                  <c:v>2.2092109885051348</c:v>
                </c:pt>
                <c:pt idx="26">
                  <c:v>2.3472544468531593</c:v>
                </c:pt>
                <c:pt idx="27">
                  <c:v>2.4874203986039927</c:v>
                </c:pt>
                <c:pt idx="28">
                  <c:v>2.6315040545635564</c:v>
                </c:pt>
                <c:pt idx="29">
                  <c:v>3.3719207083273988</c:v>
                </c:pt>
                <c:pt idx="30">
                  <c:v>4.188500360479587</c:v>
                </c:pt>
                <c:pt idx="31" formatCode="0.00">
                  <c:v>4.188500360479587</c:v>
                </c:pt>
                <c:pt idx="32" formatCode="0.00">
                  <c:v>4.188500360479587</c:v>
                </c:pt>
              </c:numCache>
            </c:numRef>
          </c:val>
          <c:smooth val="0"/>
          <c:extLst>
            <c:ext xmlns:c16="http://schemas.microsoft.com/office/drawing/2014/chart" uri="{C3380CC4-5D6E-409C-BE32-E72D297353CC}">
              <c16:uniqueId val="{00000002-EA28-4A81-B01D-D4DD5A92369D}"/>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5.2638647419809068</c:v>
                </c:pt>
                <c:pt idx="10">
                  <c:v>6.7359102997656253</c:v>
                </c:pt>
                <c:pt idx="11">
                  <c:v>8.1108730143018271</c:v>
                </c:pt>
                <c:pt idx="12">
                  <c:v>9.3787647523663935</c:v>
                </c:pt>
                <c:pt idx="13">
                  <c:v>10.583701409785258</c:v>
                </c:pt>
                <c:pt idx="14">
                  <c:v>11.819529096512694</c:v>
                </c:pt>
                <c:pt idx="15">
                  <c:v>12.947069006902119</c:v>
                </c:pt>
                <c:pt idx="16">
                  <c:v>14.010947269104445</c:v>
                </c:pt>
                <c:pt idx="17">
                  <c:v>14.999484845135242</c:v>
                </c:pt>
                <c:pt idx="18">
                  <c:v>15.909090381374188</c:v>
                </c:pt>
                <c:pt idx="19">
                  <c:v>17.401350436747531</c:v>
                </c:pt>
                <c:pt idx="20">
                  <c:v>18.867449840503383</c:v>
                </c:pt>
                <c:pt idx="21">
                  <c:v>20.399491645992448</c:v>
                </c:pt>
                <c:pt idx="22">
                  <c:v>21.982548647631944</c:v>
                </c:pt>
                <c:pt idx="23">
                  <c:v>23.611135479390224</c:v>
                </c:pt>
                <c:pt idx="24">
                  <c:v>25.269667898872662</c:v>
                </c:pt>
                <c:pt idx="25">
                  <c:v>26.952852269658106</c:v>
                </c:pt>
                <c:pt idx="26">
                  <c:v>28.637012342646244</c:v>
                </c:pt>
                <c:pt idx="27">
                  <c:v>30.347067294587504</c:v>
                </c:pt>
                <c:pt idx="28">
                  <c:v>32.104919085908762</c:v>
                </c:pt>
                <c:pt idx="29">
                  <c:v>41.138162533785561</c:v>
                </c:pt>
                <c:pt idx="30">
                  <c:v>51.100611048383634</c:v>
                </c:pt>
                <c:pt idx="31" formatCode="0.00">
                  <c:v>51.100611048383634</c:v>
                </c:pt>
                <c:pt idx="32" formatCode="0.00">
                  <c:v>51.100611048383634</c:v>
                </c:pt>
              </c:numCache>
            </c:numRef>
          </c:val>
          <c:smooth val="0"/>
          <c:extLst>
            <c:ext xmlns:c16="http://schemas.microsoft.com/office/drawing/2014/chart" uri="{C3380CC4-5D6E-409C-BE32-E72D297353CC}">
              <c16:uniqueId val="{00000003-EA28-4A81-B01D-D4DD5A92369D}"/>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1.2805095578260435</c:v>
                </c:pt>
                <c:pt idx="10">
                  <c:v>1.6386054623931785</c:v>
                </c:pt>
                <c:pt idx="11">
                  <c:v>1.9730845920669164</c:v>
                </c:pt>
                <c:pt idx="12">
                  <c:v>2.2815171921548463</c:v>
                </c:pt>
                <c:pt idx="13">
                  <c:v>2.5746350783525034</c:v>
                </c:pt>
                <c:pt idx="14">
                  <c:v>2.8752676443946563</c:v>
                </c:pt>
                <c:pt idx="15">
                  <c:v>3.1495576770714151</c:v>
                </c:pt>
                <c:pt idx="16">
                  <c:v>3.4083611133087937</c:v>
                </c:pt>
                <c:pt idx="17">
                  <c:v>3.6488368619127112</c:v>
                </c:pt>
                <c:pt idx="18">
                  <c:v>3.8701112753139801</c:v>
                </c:pt>
                <c:pt idx="19">
                  <c:v>4.233124642361191</c:v>
                </c:pt>
                <c:pt idx="20">
                  <c:v>4.5897740608502273</c:v>
                </c:pt>
                <c:pt idx="21">
                  <c:v>4.9624649013408488</c:v>
                </c:pt>
                <c:pt idx="22">
                  <c:v>5.3475659099241293</c:v>
                </c:pt>
                <c:pt idx="23">
                  <c:v>5.7437426937203107</c:v>
                </c:pt>
                <c:pt idx="24">
                  <c:v>6.147204165321952</c:v>
                </c:pt>
                <c:pt idx="25">
                  <c:v>6.5566625727891399</c:v>
                </c:pt>
                <c:pt idx="26">
                  <c:v>6.9663583336188051</c:v>
                </c:pt>
                <c:pt idx="27">
                  <c:v>7.3823533900465828</c:v>
                </c:pt>
                <c:pt idx="28">
                  <c:v>7.8099757037577477</c:v>
                </c:pt>
                <c:pt idx="29">
                  <c:v>10.00743995106718</c:v>
                </c:pt>
                <c:pt idx="30">
                  <c:v>12.430946474810408</c:v>
                </c:pt>
                <c:pt idx="31" formatCode="0.00">
                  <c:v>12.430946474810408</c:v>
                </c:pt>
                <c:pt idx="32" formatCode="0.00">
                  <c:v>12.430946474810408</c:v>
                </c:pt>
              </c:numCache>
            </c:numRef>
          </c:val>
          <c:smooth val="0"/>
          <c:extLst>
            <c:ext xmlns:c16="http://schemas.microsoft.com/office/drawing/2014/chart" uri="{C3380CC4-5D6E-409C-BE32-E72D297353CC}">
              <c16:uniqueId val="{00000004-EA28-4A81-B01D-D4DD5A92369D}"/>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0.17464786244388691</c:v>
                </c:pt>
                <c:pt idx="7">
                  <c:v>0.36116844074675197</c:v>
                </c:pt>
                <c:pt idx="8">
                  <c:v>0.46735933450650663</c:v>
                </c:pt>
                <c:pt idx="9">
                  <c:v>0.66751653653852128</c:v>
                </c:pt>
                <c:pt idx="10">
                  <c:v>0.85418826929083191</c:v>
                </c:pt>
                <c:pt idx="11">
                  <c:v>1.0285488188233827</c:v>
                </c:pt>
                <c:pt idx="12">
                  <c:v>1.1893315788644716</c:v>
                </c:pt>
                <c:pt idx="13">
                  <c:v>1.3421309351803521</c:v>
                </c:pt>
                <c:pt idx="14">
                  <c:v>1.4988476172454521</c:v>
                </c:pt>
                <c:pt idx="15">
                  <c:v>1.6418322060760655</c:v>
                </c:pt>
                <c:pt idx="16">
                  <c:v>1.7767437905664885</c:v>
                </c:pt>
                <c:pt idx="17">
                  <c:v>1.9021013389334969</c:v>
                </c:pt>
                <c:pt idx="18">
                  <c:v>2.0174494276341952</c:v>
                </c:pt>
                <c:pt idx="19">
                  <c:v>2.2066845832857704</c:v>
                </c:pt>
                <c:pt idx="20">
                  <c:v>2.3926022776389906</c:v>
                </c:pt>
                <c:pt idx="21">
                  <c:v>2.5868822012236974</c:v>
                </c:pt>
                <c:pt idx="22">
                  <c:v>2.7876314185145254</c:v>
                </c:pt>
                <c:pt idx="23">
                  <c:v>2.9941543241502857</c:v>
                </c:pt>
                <c:pt idx="24">
                  <c:v>3.204474663037479</c:v>
                </c:pt>
                <c:pt idx="25">
                  <c:v>3.4179211432598509</c:v>
                </c:pt>
                <c:pt idx="26">
                  <c:v>3.6314913533626361</c:v>
                </c:pt>
                <c:pt idx="27">
                  <c:v>3.8483453218369115</c:v>
                </c:pt>
                <c:pt idx="28">
                  <c:v>4.0712604606193779</c:v>
                </c:pt>
                <c:pt idx="29">
                  <c:v>5.216776098957542</c:v>
                </c:pt>
                <c:pt idx="30">
                  <c:v>6.480125264233636</c:v>
                </c:pt>
                <c:pt idx="31" formatCode="0.00">
                  <c:v>6.480125264233636</c:v>
                </c:pt>
                <c:pt idx="32" formatCode="0.00">
                  <c:v>6.480125264233636</c:v>
                </c:pt>
              </c:numCache>
            </c:numRef>
          </c:val>
          <c:smooth val="0"/>
          <c:extLst>
            <c:ext xmlns:c16="http://schemas.microsoft.com/office/drawing/2014/chart" uri="{C3380CC4-5D6E-409C-BE32-E72D297353CC}">
              <c16:uniqueId val="{00000005-EA28-4A81-B01D-D4DD5A92369D}"/>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EA28-4A81-B01D-D4DD5A92369D}"/>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EA28-4A81-B01D-D4DD5A92369D}"/>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0.85485860959832971</c:v>
                </c:pt>
                <c:pt idx="10">
                  <c:v>1.0939207588889821</c:v>
                </c:pt>
                <c:pt idx="11">
                  <c:v>1.3172165257850814</c:v>
                </c:pt>
                <c:pt idx="12">
                  <c:v>1.5231238242152458</c:v>
                </c:pt>
                <c:pt idx="13">
                  <c:v>1.7188071341225437</c:v>
                </c:pt>
                <c:pt idx="14">
                  <c:v>1.9195071881253309</c:v>
                </c:pt>
                <c:pt idx="15">
                  <c:v>2.1026211637514209</c:v>
                </c:pt>
                <c:pt idx="16">
                  <c:v>2.2753964033496019</c:v>
                </c:pt>
                <c:pt idx="17">
                  <c:v>2.4359362156745239</c:v>
                </c:pt>
                <c:pt idx="18">
                  <c:v>2.5836573601391053</c:v>
                </c:pt>
                <c:pt idx="19">
                  <c:v>2.8260023706257384</c:v>
                </c:pt>
                <c:pt idx="20">
                  <c:v>3.0640988566224556</c:v>
                </c:pt>
                <c:pt idx="21">
                  <c:v>3.3129044760453503</c:v>
                </c:pt>
                <c:pt idx="22">
                  <c:v>3.5699950309267376</c:v>
                </c:pt>
                <c:pt idx="23">
                  <c:v>3.8344796905540499</c:v>
                </c:pt>
                <c:pt idx="24">
                  <c:v>4.1038275533106754</c:v>
                </c:pt>
                <c:pt idx="25">
                  <c:v>4.3771789256268638</c:v>
                </c:pt>
                <c:pt idx="26">
                  <c:v>4.6506887532737391</c:v>
                </c:pt>
                <c:pt idx="27">
                  <c:v>4.9284039435776448</c:v>
                </c:pt>
                <c:pt idx="28">
                  <c:v>5.2138814039356625</c:v>
                </c:pt>
                <c:pt idx="29">
                  <c:v>6.6808921104283172</c:v>
                </c:pt>
                <c:pt idx="30">
                  <c:v>8.2988069511085349</c:v>
                </c:pt>
                <c:pt idx="31" formatCode="0.00">
                  <c:v>8.2988069511085349</c:v>
                </c:pt>
                <c:pt idx="32" formatCode="0.00">
                  <c:v>8.2988069511085349</c:v>
                </c:pt>
              </c:numCache>
            </c:numRef>
          </c:val>
          <c:smooth val="0"/>
          <c:extLst>
            <c:ext xmlns:c16="http://schemas.microsoft.com/office/drawing/2014/chart" uri="{C3380CC4-5D6E-409C-BE32-E72D297353CC}">
              <c16:uniqueId val="{00000008-EA28-4A81-B01D-D4DD5A92369D}"/>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1-1228-41CB-BB35-7A83E77FE48B}"/>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8.967475242223685</c:v>
                </c:pt>
                <c:pt idx="10">
                  <c:v>11.77721953308037</c:v>
                </c:pt>
                <c:pt idx="11">
                  <c:v>14.564512413625096</c:v>
                </c:pt>
                <c:pt idx="12">
                  <c:v>17.309049259211889</c:v>
                </c:pt>
                <c:pt idx="13">
                  <c:v>20.090909928104111</c:v>
                </c:pt>
                <c:pt idx="14">
                  <c:v>23.096774227687973</c:v>
                </c:pt>
                <c:pt idx="15">
                  <c:v>26.066792506454405</c:v>
                </c:pt>
                <c:pt idx="16">
                  <c:v>29.090259294162777</c:v>
                </c:pt>
                <c:pt idx="17">
                  <c:v>32.147316185723</c:v>
                </c:pt>
                <c:pt idx="18">
                  <c:v>35.233368532159417</c:v>
                </c:pt>
                <c:pt idx="19">
                  <c:v>38.571612990624217</c:v>
                </c:pt>
                <c:pt idx="20">
                  <c:v>41.851335042101411</c:v>
                </c:pt>
                <c:pt idx="21">
                  <c:v>45.278572840831274</c:v>
                </c:pt>
                <c:pt idx="22">
                  <c:v>48.819933640598052</c:v>
                </c:pt>
                <c:pt idx="23">
                  <c:v>52.463146461761212</c:v>
                </c:pt>
                <c:pt idx="24">
                  <c:v>56.173348740905041</c:v>
                </c:pt>
                <c:pt idx="25">
                  <c:v>59.93869840507152</c:v>
                </c:pt>
                <c:pt idx="26">
                  <c:v>63.706230753455472</c:v>
                </c:pt>
                <c:pt idx="27">
                  <c:v>67.531690964919747</c:v>
                </c:pt>
                <c:pt idx="28">
                  <c:v>71.464074586695702</c:v>
                </c:pt>
                <c:pt idx="29">
                  <c:v>75.691977267299123</c:v>
                </c:pt>
                <c:pt idx="30">
                  <c:v>79.865209039248853</c:v>
                </c:pt>
                <c:pt idx="31">
                  <c:v>83.986617004384996</c:v>
                </c:pt>
                <c:pt idx="32">
                  <c:v>88.058812639348943</c:v>
                </c:pt>
                <c:pt idx="33">
                  <c:v>92.084198072090615</c:v>
                </c:pt>
                <c:pt idx="34">
                  <c:v>96.715326415700616</c:v>
                </c:pt>
                <c:pt idx="35">
                  <c:v>101.28034776749004</c:v>
                </c:pt>
                <c:pt idx="36">
                  <c:v>105.78289974537017</c:v>
                </c:pt>
                <c:pt idx="37">
                  <c:v>110.22630245283787</c:v>
                </c:pt>
                <c:pt idx="38">
                  <c:v>114.82541165426031</c:v>
                </c:pt>
              </c:numCache>
            </c:numRef>
          </c:val>
          <c:smooth val="0"/>
          <c:extLst>
            <c:ext xmlns:c16="http://schemas.microsoft.com/office/drawing/2014/chart" uri="{C3380CC4-5D6E-409C-BE32-E72D297353CC}">
              <c16:uniqueId val="{00000002-1228-41CB-BB35-7A83E77FE48B}"/>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114.09741000805259</c:v>
                </c:pt>
                <c:pt idx="10">
                  <c:v>110.49080746737891</c:v>
                </c:pt>
                <c:pt idx="11">
                  <c:v>106.9164566302499</c:v>
                </c:pt>
                <c:pt idx="12">
                  <c:v>103.37148810499093</c:v>
                </c:pt>
                <c:pt idx="13">
                  <c:v>99.868575509521605</c:v>
                </c:pt>
                <c:pt idx="14">
                  <c:v>96.434678961471533</c:v>
                </c:pt>
                <c:pt idx="15">
                  <c:v>93.029815162933033</c:v>
                </c:pt>
                <c:pt idx="16">
                  <c:v>89.666804311406963</c:v>
                </c:pt>
                <c:pt idx="17">
                  <c:v>86.342291251969897</c:v>
                </c:pt>
                <c:pt idx="18">
                  <c:v>83.055244260279665</c:v>
                </c:pt>
                <c:pt idx="19">
                  <c:v>82.586146058950902</c:v>
                </c:pt>
                <c:pt idx="20">
                  <c:v>82.109456510154317</c:v>
                </c:pt>
                <c:pt idx="21">
                  <c:v>81.651902252471203</c:v>
                </c:pt>
                <c:pt idx="22">
                  <c:v>81.209151681094511</c:v>
                </c:pt>
                <c:pt idx="23">
                  <c:v>80.779613042112928</c:v>
                </c:pt>
                <c:pt idx="24">
                  <c:v>80.358764070532061</c:v>
                </c:pt>
                <c:pt idx="25">
                  <c:v>79.94506864890235</c:v>
                </c:pt>
                <c:pt idx="26">
                  <c:v>79.531656358387025</c:v>
                </c:pt>
                <c:pt idx="27">
                  <c:v>79.125758292924075</c:v>
                </c:pt>
                <c:pt idx="28">
                  <c:v>78.733730004900238</c:v>
                </c:pt>
                <c:pt idx="29">
                  <c:v>76.89788403267238</c:v>
                </c:pt>
                <c:pt idx="30">
                  <c:v>75.337179374071042</c:v>
                </c:pt>
                <c:pt idx="31" formatCode="0.00">
                  <c:v>75.337179374071042</c:v>
                </c:pt>
                <c:pt idx="32" formatCode="0.00">
                  <c:v>75.337179374071042</c:v>
                </c:pt>
              </c:numCache>
            </c:numRef>
          </c:val>
          <c:smooth val="0"/>
          <c:extLst>
            <c:ext xmlns:c16="http://schemas.microsoft.com/office/drawing/2014/chart" uri="{C3380CC4-5D6E-409C-BE32-E72D297353CC}">
              <c16:uniqueId val="{00000001-07B1-4C12-A5CA-DD43054361C3}"/>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10.88105218886867</c:v>
                </c:pt>
                <c:pt idx="10">
                  <c:v>10.537103711275648</c:v>
                </c:pt>
                <c:pt idx="11">
                  <c:v>10.19623096054991</c:v>
                </c:pt>
                <c:pt idx="12">
                  <c:v>9.8581602933146293</c:v>
                </c:pt>
                <c:pt idx="13">
                  <c:v>9.5241003461023581</c:v>
                </c:pt>
                <c:pt idx="14">
                  <c:v>9.1966222066084669</c:v>
                </c:pt>
                <c:pt idx="15">
                  <c:v>8.8719128141229397</c:v>
                </c:pt>
                <c:pt idx="16">
                  <c:v>8.551194783936241</c:v>
                </c:pt>
                <c:pt idx="17">
                  <c:v>8.234148147209277</c:v>
                </c:pt>
                <c:pt idx="18">
                  <c:v>7.9206745121695228</c:v>
                </c:pt>
                <c:pt idx="19">
                  <c:v>7.8759383344595948</c:v>
                </c:pt>
                <c:pt idx="20">
                  <c:v>7.8304781977397724</c:v>
                </c:pt>
                <c:pt idx="21">
                  <c:v>7.7868429236635439</c:v>
                </c:pt>
                <c:pt idx="22">
                  <c:v>7.7446194229420016</c:v>
                </c:pt>
                <c:pt idx="23">
                  <c:v>7.7036558958333288</c:v>
                </c:pt>
                <c:pt idx="24">
                  <c:v>7.6635210704847072</c:v>
                </c:pt>
                <c:pt idx="25">
                  <c:v>7.6240684529999534</c:v>
                </c:pt>
                <c:pt idx="26">
                  <c:v>7.5846428366928045</c:v>
                </c:pt>
                <c:pt idx="27">
                  <c:v>7.5459338245131979</c:v>
                </c:pt>
                <c:pt idx="28">
                  <c:v>7.508547522219402</c:v>
                </c:pt>
                <c:pt idx="29">
                  <c:v>7.333469614376221</c:v>
                </c:pt>
                <c:pt idx="30">
                  <c:v>7.1846309260970287</c:v>
                </c:pt>
                <c:pt idx="31" formatCode="0.00">
                  <c:v>7.1846309260970287</c:v>
                </c:pt>
                <c:pt idx="32" formatCode="0.00">
                  <c:v>7.1846309260970287</c:v>
                </c:pt>
              </c:numCache>
            </c:numRef>
          </c:val>
          <c:smooth val="0"/>
          <c:extLst>
            <c:ext xmlns:c16="http://schemas.microsoft.com/office/drawing/2014/chart" uri="{C3380CC4-5D6E-409C-BE32-E72D297353CC}">
              <c16:uniqueId val="{00000002-07B1-4C12-A5CA-DD43054361C3}"/>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9.639891973427412</c:v>
                </c:pt>
                <c:pt idx="2">
                  <c:v>9.4068236837096606</c:v>
                </c:pt>
                <c:pt idx="3">
                  <c:v>9.1525319237345215</c:v>
                </c:pt>
                <c:pt idx="4">
                  <c:v>8.8871468025102622</c:v>
                </c:pt>
                <c:pt idx="5">
                  <c:v>8.579706769854079</c:v>
                </c:pt>
                <c:pt idx="6">
                  <c:v>8.5221310946817272</c:v>
                </c:pt>
                <c:pt idx="7">
                  <c:v>8.4664739346856805</c:v>
                </c:pt>
                <c:pt idx="8">
                  <c:v>8.3978362805268461</c:v>
                </c:pt>
                <c:pt idx="9">
                  <c:v>8.1384697035521238</c:v>
                </c:pt>
                <c:pt idx="10">
                  <c:v>7.8812138595504493</c:v>
                </c:pt>
                <c:pt idx="11">
                  <c:v>7.6262585017050117</c:v>
                </c:pt>
                <c:pt idx="12">
                  <c:v>7.3733989587861162</c:v>
                </c:pt>
                <c:pt idx="13">
                  <c:v>7.1235392290130566</c:v>
                </c:pt>
                <c:pt idx="14">
                  <c:v>6.8786023542893844</c:v>
                </c:pt>
                <c:pt idx="15">
                  <c:v>6.6357363605111628</c:v>
                </c:pt>
                <c:pt idx="16">
                  <c:v>6.3958557012926036</c:v>
                </c:pt>
                <c:pt idx="17">
                  <c:v>6.1587210563310526</c:v>
                </c:pt>
                <c:pt idx="18">
                  <c:v>5.9242588336203408</c:v>
                </c:pt>
                <c:pt idx="19">
                  <c:v>5.8907984641059459</c:v>
                </c:pt>
                <c:pt idx="20">
                  <c:v>5.8567966103337419</c:v>
                </c:pt>
                <c:pt idx="21">
                  <c:v>5.8241596603484407</c:v>
                </c:pt>
                <c:pt idx="22">
                  <c:v>5.7925786445206029</c:v>
                </c:pt>
                <c:pt idx="23">
                  <c:v>5.7619400244186227</c:v>
                </c:pt>
                <c:pt idx="24">
                  <c:v>5.7319212307865826</c:v>
                </c:pt>
                <c:pt idx="25">
                  <c:v>5.7024126936936375</c:v>
                </c:pt>
                <c:pt idx="26">
                  <c:v>5.6729243520985246</c:v>
                </c:pt>
                <c:pt idx="27">
                  <c:v>5.6439719936859403</c:v>
                </c:pt>
                <c:pt idx="28">
                  <c:v>5.6160089545179854</c:v>
                </c:pt>
                <c:pt idx="29">
                  <c:v>5.4850596470419442</c:v>
                </c:pt>
                <c:pt idx="30">
                  <c:v>5.37373593181192</c:v>
                </c:pt>
                <c:pt idx="31" formatCode="0.00">
                  <c:v>5.37373593181192</c:v>
                </c:pt>
                <c:pt idx="32" formatCode="0.00">
                  <c:v>5.37373593181192</c:v>
                </c:pt>
              </c:numCache>
            </c:numRef>
          </c:val>
          <c:smooth val="0"/>
          <c:extLst>
            <c:ext xmlns:c16="http://schemas.microsoft.com/office/drawing/2014/chart" uri="{C3380CC4-5D6E-409C-BE32-E72D297353CC}">
              <c16:uniqueId val="{00000003-07B1-4C12-A5CA-DD43054361C3}"/>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99.291092051536197</c:v>
                </c:pt>
                <c:pt idx="10">
                  <c:v>96.152515068640085</c:v>
                </c:pt>
                <c:pt idx="11">
                  <c:v>93.042004514817563</c:v>
                </c:pt>
                <c:pt idx="12">
                  <c:v>89.957063356762845</c:v>
                </c:pt>
                <c:pt idx="13">
                  <c:v>86.9087205684324</c:v>
                </c:pt>
                <c:pt idx="14">
                  <c:v>83.920437677314808</c:v>
                </c:pt>
                <c:pt idx="15">
                  <c:v>80.957419981998427</c:v>
                </c:pt>
                <c:pt idx="16">
                  <c:v>78.03082401452096</c:v>
                </c:pt>
                <c:pt idx="17">
                  <c:v>75.137730015386325</c:v>
                </c:pt>
                <c:pt idx="18">
                  <c:v>72.277240146189399</c:v>
                </c:pt>
                <c:pt idx="19">
                  <c:v>71.869016395220314</c:v>
                </c:pt>
                <c:pt idx="20">
                  <c:v>71.454186419095308</c:v>
                </c:pt>
                <c:pt idx="21">
                  <c:v>71.056008564620086</c:v>
                </c:pt>
                <c:pt idx="22">
                  <c:v>70.67071333543538</c:v>
                </c:pt>
                <c:pt idx="23">
                  <c:v>70.296915538098858</c:v>
                </c:pt>
                <c:pt idx="24">
                  <c:v>69.930679757864397</c:v>
                </c:pt>
                <c:pt idx="25">
                  <c:v>69.570669217857969</c:v>
                </c:pt>
                <c:pt idx="26">
                  <c:v>69.210905067296636</c:v>
                </c:pt>
                <c:pt idx="27">
                  <c:v>68.857680027582091</c:v>
                </c:pt>
                <c:pt idx="28">
                  <c:v>68.516524896801869</c:v>
                </c:pt>
                <c:pt idx="29">
                  <c:v>66.918915000064928</c:v>
                </c:pt>
                <c:pt idx="30">
                  <c:v>65.560741576921401</c:v>
                </c:pt>
                <c:pt idx="31" formatCode="0.00">
                  <c:v>65.560741576921401</c:v>
                </c:pt>
                <c:pt idx="32" formatCode="0.00">
                  <c:v>65.560741576921401</c:v>
                </c:pt>
              </c:numCache>
            </c:numRef>
          </c:val>
          <c:smooth val="0"/>
          <c:extLst>
            <c:ext xmlns:c16="http://schemas.microsoft.com/office/drawing/2014/chart" uri="{C3380CC4-5D6E-409C-BE32-E72D297353CC}">
              <c16:uniqueId val="{00000004-07B1-4C12-A5CA-DD43054361C3}"/>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24.153962651238416</c:v>
                </c:pt>
                <c:pt idx="10">
                  <c:v>23.390459403801472</c:v>
                </c:pt>
                <c:pt idx="11">
                  <c:v>22.633783712246828</c:v>
                </c:pt>
                <c:pt idx="12">
                  <c:v>21.88332813790138</c:v>
                </c:pt>
                <c:pt idx="13">
                  <c:v>21.141775634689022</c:v>
                </c:pt>
                <c:pt idx="14">
                  <c:v>20.41483355104344</c:v>
                </c:pt>
                <c:pt idx="15">
                  <c:v>19.694037583662166</c:v>
                </c:pt>
                <c:pt idx="16">
                  <c:v>18.982101716776693</c:v>
                </c:pt>
                <c:pt idx="17">
                  <c:v>18.278315677588509</c:v>
                </c:pt>
                <c:pt idx="18">
                  <c:v>17.582461054205304</c:v>
                </c:pt>
                <c:pt idx="19">
                  <c:v>17.483154852304153</c:v>
                </c:pt>
                <c:pt idx="20">
                  <c:v>17.382241592686292</c:v>
                </c:pt>
                <c:pt idx="21">
                  <c:v>17.28537919721024</c:v>
                </c:pt>
                <c:pt idx="22">
                  <c:v>17.191650682565673</c:v>
                </c:pt>
                <c:pt idx="23">
                  <c:v>17.100719080853651</c:v>
                </c:pt>
                <c:pt idx="24">
                  <c:v>17.011627046769277</c:v>
                </c:pt>
                <c:pt idx="25">
                  <c:v>16.924049390428728</c:v>
                </c:pt>
                <c:pt idx="26">
                  <c:v>16.836531671805968</c:v>
                </c:pt>
                <c:pt idx="27">
                  <c:v>16.750604684394858</c:v>
                </c:pt>
                <c:pt idx="28">
                  <c:v>16.667613873065413</c:v>
                </c:pt>
                <c:pt idx="29">
                  <c:v>16.278972666893527</c:v>
                </c:pt>
                <c:pt idx="30">
                  <c:v>15.948577769841874</c:v>
                </c:pt>
                <c:pt idx="31" formatCode="0.00">
                  <c:v>15.948577769841874</c:v>
                </c:pt>
                <c:pt idx="32" formatCode="0.00">
                  <c:v>15.948577769841874</c:v>
                </c:pt>
              </c:numCache>
            </c:numRef>
          </c:val>
          <c:smooth val="0"/>
          <c:extLst>
            <c:ext xmlns:c16="http://schemas.microsoft.com/office/drawing/2014/chart" uri="{C3380CC4-5D6E-409C-BE32-E72D297353CC}">
              <c16:uniqueId val="{00000005-07B1-4C12-A5CA-DD43054361C3}"/>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10.373780123530006</c:v>
                </c:pt>
                <c:pt idx="2">
                  <c:v>11.107846566457823</c:v>
                </c:pt>
                <c:pt idx="3">
                  <c:v>11.839343352056451</c:v>
                </c:pt>
                <c:pt idx="4">
                  <c:v>12.577835119303142</c:v>
                </c:pt>
                <c:pt idx="5">
                  <c:v>13.273861719969343</c:v>
                </c:pt>
                <c:pt idx="6">
                  <c:v>13.184785068380622</c:v>
                </c:pt>
                <c:pt idx="7">
                  <c:v>13.098676595756643</c:v>
                </c:pt>
                <c:pt idx="8">
                  <c:v>12.992485701996889</c:v>
                </c:pt>
                <c:pt idx="9">
                  <c:v>12.591213704025932</c:v>
                </c:pt>
                <c:pt idx="10">
                  <c:v>12.193207269595039</c:v>
                </c:pt>
                <c:pt idx="11">
                  <c:v>11.798759970219187</c:v>
                </c:pt>
                <c:pt idx="12">
                  <c:v>11.407555154330453</c:v>
                </c:pt>
                <c:pt idx="13">
                  <c:v>11.020991418370405</c:v>
                </c:pt>
                <c:pt idx="14">
                  <c:v>10.642043944707648</c:v>
                </c:pt>
                <c:pt idx="15">
                  <c:v>10.266300378596251</c:v>
                </c:pt>
                <c:pt idx="16">
                  <c:v>9.8951754922597903</c:v>
                </c:pt>
                <c:pt idx="17">
                  <c:v>9.5282990277524622</c:v>
                </c:pt>
                <c:pt idx="18">
                  <c:v>9.165557129188544</c:v>
                </c:pt>
                <c:pt idx="19">
                  <c:v>9.1137898217563436</c:v>
                </c:pt>
                <c:pt idx="20">
                  <c:v>9.0611847715720337</c:v>
                </c:pt>
                <c:pt idx="21">
                  <c:v>9.0106913954360763</c:v>
                </c:pt>
                <c:pt idx="22">
                  <c:v>8.9618316793269202</c:v>
                </c:pt>
                <c:pt idx="23">
                  <c:v>8.9144299653250698</c:v>
                </c:pt>
                <c:pt idx="24">
                  <c:v>8.8679871991139851</c:v>
                </c:pt>
                <c:pt idx="25">
                  <c:v>8.8223338625329966</c:v>
                </c:pt>
                <c:pt idx="26">
                  <c:v>8.7767117708713016</c:v>
                </c:pt>
                <c:pt idx="27">
                  <c:v>8.7319189111216016</c:v>
                </c:pt>
                <c:pt idx="28">
                  <c:v>8.6886566499345754</c:v>
                </c:pt>
                <c:pt idx="29">
                  <c:v>8.4860619638469181</c:v>
                </c:pt>
                <c:pt idx="30">
                  <c:v>8.3138304830102232</c:v>
                </c:pt>
                <c:pt idx="31" formatCode="0.00">
                  <c:v>8.3138304830102232</c:v>
                </c:pt>
                <c:pt idx="32" formatCode="0.00">
                  <c:v>8.3138304830102232</c:v>
                </c:pt>
              </c:numCache>
            </c:numRef>
          </c:val>
          <c:smooth val="0"/>
          <c:extLst>
            <c:ext xmlns:c16="http://schemas.microsoft.com/office/drawing/2014/chart" uri="{C3380CC4-5D6E-409C-BE32-E72D297353CC}">
              <c16:uniqueId val="{00000006-07B1-4C12-A5CA-DD43054361C3}"/>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8.9064866037315635</c:v>
                </c:pt>
                <c:pt idx="10">
                  <c:v>8.8115940418649217</c:v>
                </c:pt>
                <c:pt idx="11">
                  <c:v>8.7117357729933609</c:v>
                </c:pt>
                <c:pt idx="12">
                  <c:v>8.6058062983504389</c:v>
                </c:pt>
                <c:pt idx="13">
                  <c:v>8.4985659341647377</c:v>
                </c:pt>
                <c:pt idx="14">
                  <c:v>8.4003494140227186</c:v>
                </c:pt>
                <c:pt idx="15">
                  <c:v>8.2960467074499018</c:v>
                </c:pt>
                <c:pt idx="16">
                  <c:v>8.1905789141258705</c:v>
                </c:pt>
                <c:pt idx="17">
                  <c:v>8.0827029228202978</c:v>
                </c:pt>
                <c:pt idx="18">
                  <c:v>7.9720557571069373</c:v>
                </c:pt>
                <c:pt idx="19">
                  <c:v>8.0714154114576537</c:v>
                </c:pt>
                <c:pt idx="20">
                  <c:v>8.1677890477388999</c:v>
                </c:pt>
                <c:pt idx="21">
                  <c:v>8.271689453842189</c:v>
                </c:pt>
                <c:pt idx="22">
                  <c:v>8.3814128149601359</c:v>
                </c:pt>
                <c:pt idx="23">
                  <c:v>8.4963330227553868</c:v>
                </c:pt>
                <c:pt idx="24">
                  <c:v>8.6146712672017376</c:v>
                </c:pt>
                <c:pt idx="25">
                  <c:v>8.7358233242822223</c:v>
                </c:pt>
                <c:pt idx="26">
                  <c:v>8.8570867495522378</c:v>
                </c:pt>
                <c:pt idx="27">
                  <c:v>8.9813058571802991</c:v>
                </c:pt>
                <c:pt idx="28">
                  <c:v>9.1109805715011518</c:v>
                </c:pt>
                <c:pt idx="29">
                  <c:v>9.8082451357322569</c:v>
                </c:pt>
                <c:pt idx="30">
                  <c:v>10.613735141840381</c:v>
                </c:pt>
                <c:pt idx="31" formatCode="0.00">
                  <c:v>10.613735141840381</c:v>
                </c:pt>
                <c:pt idx="32" formatCode="0.00">
                  <c:v>10.613735141840381</c:v>
                </c:pt>
              </c:numCache>
            </c:numRef>
          </c:val>
          <c:smooth val="0"/>
          <c:extLst>
            <c:ext xmlns:c16="http://schemas.microsoft.com/office/drawing/2014/chart" uri="{C3380CC4-5D6E-409C-BE32-E72D297353CC}">
              <c16:uniqueId val="{00000007-07B1-4C12-A5CA-DD43054361C3}"/>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3.0776322983298847</c:v>
                </c:pt>
                <c:pt idx="10">
                  <c:v>3.044842217766615</c:v>
                </c:pt>
                <c:pt idx="11">
                  <c:v>3.0103362394602344</c:v>
                </c:pt>
                <c:pt idx="12">
                  <c:v>2.973732358826811</c:v>
                </c:pt>
                <c:pt idx="13">
                  <c:v>2.936675500922338</c:v>
                </c:pt>
                <c:pt idx="14">
                  <c:v>2.9027368281249188</c:v>
                </c:pt>
                <c:pt idx="15">
                  <c:v>2.8666950764405636</c:v>
                </c:pt>
                <c:pt idx="16">
                  <c:v>2.8302507295718859</c:v>
                </c:pt>
                <c:pt idx="17">
                  <c:v>2.7929742310121419</c:v>
                </c:pt>
                <c:pt idx="18">
                  <c:v>2.7547401544262726</c:v>
                </c:pt>
                <c:pt idx="19">
                  <c:v>2.7890738367171699</c:v>
                </c:pt>
                <c:pt idx="20">
                  <c:v>2.8223757018546975</c:v>
                </c:pt>
                <c:pt idx="21">
                  <c:v>2.8582784387991516</c:v>
                </c:pt>
                <c:pt idx="22">
                  <c:v>2.8961932951372749</c:v>
                </c:pt>
                <c:pt idx="23">
                  <c:v>2.9359039194246632</c:v>
                </c:pt>
                <c:pt idx="24">
                  <c:v>2.9767956446851227</c:v>
                </c:pt>
                <c:pt idx="25">
                  <c:v>3.0186596815909641</c:v>
                </c:pt>
                <c:pt idx="26">
                  <c:v>3.0605622017228367</c:v>
                </c:pt>
                <c:pt idx="27">
                  <c:v>3.1034860565171236</c:v>
                </c:pt>
                <c:pt idx="28">
                  <c:v>3.1482950936635277</c:v>
                </c:pt>
                <c:pt idx="29">
                  <c:v>3.3892345391301024</c:v>
                </c:pt>
                <c:pt idx="30">
                  <c:v>3.6675712356386527</c:v>
                </c:pt>
                <c:pt idx="31" formatCode="0.00">
                  <c:v>3.6675712356386527</c:v>
                </c:pt>
                <c:pt idx="32" formatCode="0.00">
                  <c:v>3.6675712356386527</c:v>
                </c:pt>
              </c:numCache>
            </c:numRef>
          </c:val>
          <c:smooth val="0"/>
          <c:extLst>
            <c:ext xmlns:c16="http://schemas.microsoft.com/office/drawing/2014/chart" uri="{C3380CC4-5D6E-409C-BE32-E72D297353CC}">
              <c16:uniqueId val="{00000008-07B1-4C12-A5CA-DD43054361C3}"/>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16.125004926462807</c:v>
                </c:pt>
                <c:pt idx="10">
                  <c:v>15.615295865301368</c:v>
                </c:pt>
                <c:pt idx="11">
                  <c:v>15.110144829414189</c:v>
                </c:pt>
                <c:pt idx="12">
                  <c:v>14.609146297283422</c:v>
                </c:pt>
                <c:pt idx="13">
                  <c:v>14.114091388894838</c:v>
                </c:pt>
                <c:pt idx="14">
                  <c:v>13.628790287403023</c:v>
                </c:pt>
                <c:pt idx="15">
                  <c:v>13.14759228718993</c:v>
                </c:pt>
                <c:pt idx="16">
                  <c:v>12.672309223842754</c:v>
                </c:pt>
                <c:pt idx="17">
                  <c:v>12.202466924550164</c:v>
                </c:pt>
                <c:pt idx="18">
                  <c:v>11.737919579165389</c:v>
                </c:pt>
                <c:pt idx="19">
                  <c:v>11.671623501043307</c:v>
                </c:pt>
                <c:pt idx="20">
                  <c:v>11.604254563201549</c:v>
                </c:pt>
                <c:pt idx="21">
                  <c:v>11.539589951982558</c:v>
                </c:pt>
                <c:pt idx="22">
                  <c:v>11.477017496182382</c:v>
                </c:pt>
                <c:pt idx="23">
                  <c:v>11.41631223855037</c:v>
                </c:pt>
                <c:pt idx="24">
                  <c:v>11.356835062516668</c:v>
                </c:pt>
                <c:pt idx="25">
                  <c:v>11.298368873745483</c:v>
                </c:pt>
                <c:pt idx="26">
                  <c:v>11.239942698946694</c:v>
                </c:pt>
                <c:pt idx="27">
                  <c:v>11.182578484414829</c:v>
                </c:pt>
                <c:pt idx="28">
                  <c:v>11.127174439088551</c:v>
                </c:pt>
                <c:pt idx="29">
                  <c:v>10.867720474758322</c:v>
                </c:pt>
                <c:pt idx="30">
                  <c:v>10.647151311033008</c:v>
                </c:pt>
                <c:pt idx="31" formatCode="0.00">
                  <c:v>10.647151311033008</c:v>
                </c:pt>
                <c:pt idx="32" formatCode="0.00">
                  <c:v>10.647151311033008</c:v>
                </c:pt>
              </c:numCache>
            </c:numRef>
          </c:val>
          <c:smooth val="0"/>
          <c:extLst>
            <c:ext xmlns:c16="http://schemas.microsoft.com/office/drawing/2014/chart" uri="{C3380CC4-5D6E-409C-BE32-E72D297353CC}">
              <c16:uniqueId val="{00000009-07B1-4C12-A5CA-DD43054361C3}"/>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17.976846368396746</c:v>
                </c:pt>
                <c:pt idx="1">
                  <c:v>17.382279232767157</c:v>
                </c:pt>
                <c:pt idx="2">
                  <c:v>20.483172910937</c:v>
                </c:pt>
                <c:pt idx="3">
                  <c:v>25.634308259593027</c:v>
                </c:pt>
                <c:pt idx="4">
                  <c:v>33.147716875236625</c:v>
                </c:pt>
                <c:pt idx="6">
                  <c:v>17.976846368396746</c:v>
                </c:pt>
                <c:pt idx="7">
                  <c:v>17.382279232767157</c:v>
                </c:pt>
                <c:pt idx="8">
                  <c:v>20.483172910937</c:v>
                </c:pt>
                <c:pt idx="9">
                  <c:v>25.634308259593027</c:v>
                </c:pt>
                <c:pt idx="10">
                  <c:v>33.147716875236625</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5.1487384811672978</c:v>
                </c:pt>
                <c:pt idx="1">
                  <c:v>4.9784488414763688</c:v>
                </c:pt>
                <c:pt idx="2">
                  <c:v>5.8665740598611187</c:v>
                </c:pt>
                <c:pt idx="3">
                  <c:v>7.3419078446539707</c:v>
                </c:pt>
                <c:pt idx="4">
                  <c:v>9.4938189903210723</c:v>
                </c:pt>
                <c:pt idx="6">
                  <c:v>5.1487384811672978</c:v>
                </c:pt>
                <c:pt idx="7">
                  <c:v>4.72952639940255</c:v>
                </c:pt>
                <c:pt idx="8">
                  <c:v>5.294583089024659</c:v>
                </c:pt>
                <c:pt idx="9">
                  <c:v>6.2947682383101968</c:v>
                </c:pt>
                <c:pt idx="10">
                  <c:v>7.7327749039852014</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1.7163232450350523</c:v>
                </c:pt>
                <c:pt idx="1">
                  <c:v>1.6595574823032224</c:v>
                </c:pt>
                <c:pt idx="2">
                  <c:v>1.9556125183846031</c:v>
                </c:pt>
                <c:pt idx="3">
                  <c:v>2.4474125346968392</c:v>
                </c:pt>
                <c:pt idx="4">
                  <c:v>3.1647484673855613</c:v>
                </c:pt>
                <c:pt idx="6">
                  <c:v>1.7163232450350523</c:v>
                </c:pt>
                <c:pt idx="7">
                  <c:v>1.576579608188061</c:v>
                </c:pt>
                <c:pt idx="8">
                  <c:v>1.764940297842104</c:v>
                </c:pt>
                <c:pt idx="9">
                  <c:v>2.098350321935702</c:v>
                </c:pt>
                <c:pt idx="10">
                  <c:v>2.5777074063634604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10.970340295675397</c:v>
                </c:pt>
                <c:pt idx="1">
                  <c:v>10.607506700014909</c:v>
                </c:pt>
                <c:pt idx="2">
                  <c:v>12.499821857696572</c:v>
                </c:pt>
                <c:pt idx="3">
                  <c:v>15.643293550439248</c:v>
                </c:pt>
                <c:pt idx="4">
                  <c:v>20.22833853580287</c:v>
                </c:pt>
                <c:pt idx="6">
                  <c:v>10.970340295675397</c:v>
                </c:pt>
                <c:pt idx="7">
                  <c:v>10.077131365014164</c:v>
                </c:pt>
                <c:pt idx="8">
                  <c:v>11.281089226571156</c:v>
                </c:pt>
                <c:pt idx="9">
                  <c:v>13.41216880780785</c:v>
                </c:pt>
                <c:pt idx="10">
                  <c:v>16.476108164527286</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3.5882111048935075</c:v>
                </c:pt>
                <c:pt idx="1">
                  <c:v>3.4695344274078845</c:v>
                </c:pt>
                <c:pt idx="2">
                  <c:v>4.0884784236509484</c:v>
                </c:pt>
                <c:pt idx="3">
                  <c:v>5.1166543718723645</c:v>
                </c:pt>
                <c:pt idx="4">
                  <c:v>6.6163443440607024</c:v>
                </c:pt>
                <c:pt idx="6">
                  <c:v>3.5882111048935075</c:v>
                </c:pt>
                <c:pt idx="7">
                  <c:v>3.29605770603749</c:v>
                </c:pt>
                <c:pt idx="8">
                  <c:v>3.6898517773449808</c:v>
                </c:pt>
                <c:pt idx="9">
                  <c:v>4.3868915420840686</c:v>
                </c:pt>
                <c:pt idx="10">
                  <c:v>5.3890538203895915</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2.1416072675669553</c:v>
                </c:pt>
                <c:pt idx="1">
                  <c:v>2.070775639336583</c:v>
                </c:pt>
                <c:pt idx="2">
                  <c:v>2.4401895121054822</c:v>
                </c:pt>
                <c:pt idx="3">
                  <c:v>3.0538515901380623</c:v>
                </c:pt>
                <c:pt idx="4">
                  <c:v>3.9489346411758715</c:v>
                </c:pt>
                <c:pt idx="6">
                  <c:v>2.1416072675669553</c:v>
                </c:pt>
                <c:pt idx="7">
                  <c:v>1.9672368573697538</c:v>
                </c:pt>
                <c:pt idx="8">
                  <c:v>2.2022710346751975</c:v>
                </c:pt>
                <c:pt idx="9">
                  <c:v>2.6182960070946208</c:v>
                </c:pt>
                <c:pt idx="10">
                  <c:v>3.2164319460792541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54.377167697272895</c:v>
                </c:pt>
                <c:pt idx="1">
                  <c:v>52.578694473501294</c:v>
                </c:pt>
                <c:pt idx="2">
                  <c:v>61.958416149583726</c:v>
                </c:pt>
                <c:pt idx="3">
                  <c:v>77.539800389349026</c:v>
                </c:pt>
                <c:pt idx="4">
                  <c:v>100.2666943004652</c:v>
                </c:pt>
                <c:pt idx="6">
                  <c:v>54.377167697272895</c:v>
                </c:pt>
                <c:pt idx="7">
                  <c:v>49.949759749826221</c:v>
                </c:pt>
                <c:pt idx="8">
                  <c:v>55.917470574999307</c:v>
                </c:pt>
                <c:pt idx="9">
                  <c:v>66.480686358818105</c:v>
                </c:pt>
                <c:pt idx="10">
                  <c:v>81.667849174568275</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22.851238439465153</c:v>
                </c:pt>
                <c:pt idx="1">
                  <c:v>22.095455411334772</c:v>
                </c:pt>
                <c:pt idx="2">
                  <c:v>26.037151266279583</c:v>
                </c:pt>
                <c:pt idx="3">
                  <c:v>32.585008419524769</c:v>
                </c:pt>
                <c:pt idx="4">
                  <c:v>42.135665317335032</c:v>
                </c:pt>
                <c:pt idx="6">
                  <c:v>22.851238439465153</c:v>
                </c:pt>
                <c:pt idx="7">
                  <c:v>20.990682640768032</c:v>
                </c:pt>
                <c:pt idx="8">
                  <c:v>23.498529017817322</c:v>
                </c:pt>
                <c:pt idx="9">
                  <c:v>27.937571593690038</c:v>
                </c:pt>
                <c:pt idx="10">
                  <c:v>34.319762748877601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1.0742607745354706</c:v>
                </c:pt>
                <c:pt idx="1">
                  <c:v>1.0387306187703502</c:v>
                </c:pt>
                <c:pt idx="2">
                  <c:v>1.2240338903341026</c:v>
                </c:pt>
                <c:pt idx="3">
                  <c:v>1.53185554803667</c:v>
                </c:pt>
                <c:pt idx="4">
                  <c:v>1.9808419827782056</c:v>
                </c:pt>
                <c:pt idx="6">
                  <c:v>1.0742607745354706</c:v>
                </c:pt>
                <c:pt idx="7">
                  <c:v>0.98679408783183264</c:v>
                </c:pt>
                <c:pt idx="8">
                  <c:v>1.1046905860265277</c:v>
                </c:pt>
                <c:pt idx="9">
                  <c:v>1.31337465049794</c:v>
                </c:pt>
                <c:pt idx="10">
                  <c:v>1.6134081752352407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0.91766364989883309</c:v>
                </c:pt>
                <c:pt idx="1">
                  <c:v>0.88731279543801245</c:v>
                </c:pt>
                <c:pt idx="2">
                  <c:v>1.0456040414298606</c:v>
                </c:pt>
                <c:pt idx="3">
                  <c:v>1.3085539253138694</c:v>
                </c:pt>
                <c:pt idx="4">
                  <c:v>1.6920907165907786</c:v>
                </c:pt>
                <c:pt idx="6">
                  <c:v>0.91766364989883309</c:v>
                </c:pt>
                <c:pt idx="7">
                  <c:v>0.84294715566611178</c:v>
                </c:pt>
                <c:pt idx="8">
                  <c:v>0.94365764739044922</c:v>
                </c:pt>
                <c:pt idx="9">
                  <c:v>1.1219214217159788</c:v>
                </c:pt>
                <c:pt idx="10">
                  <c:v>1.3782184642301676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23.057336578097956</c:v>
                </c:pt>
                <c:pt idx="1">
                  <c:v>22.294737049596247</c:v>
                </c:pt>
                <c:pt idx="2">
                  <c:v>26.271983545742096</c:v>
                </c:pt>
                <c:pt idx="3">
                  <c:v>32.878896630458662</c:v>
                </c:pt>
                <c:pt idx="4">
                  <c:v>42.515692081090634</c:v>
                </c:pt>
                <c:pt idx="6">
                  <c:v>23.057336578097956</c:v>
                </c:pt>
                <c:pt idx="7">
                  <c:v>27.015115427001614</c:v>
                </c:pt>
                <c:pt idx="8">
                  <c:v>37.118791042539939</c:v>
                </c:pt>
                <c:pt idx="9">
                  <c:v>52.736066256185204</c:v>
                </c:pt>
                <c:pt idx="10">
                  <c:v>75.910810486414007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26.306324914102674</c:v>
                </c:pt>
                <c:pt idx="1">
                  <c:v>25.436268179312087</c:v>
                </c:pt>
                <c:pt idx="2">
                  <c:v>29.973944863551218</c:v>
                </c:pt>
                <c:pt idx="3">
                  <c:v>37.511832064750578</c:v>
                </c:pt>
                <c:pt idx="4">
                  <c:v>48.506539601607962</c:v>
                </c:pt>
                <c:pt idx="6">
                  <c:v>26.306324914102674</c:v>
                </c:pt>
                <c:pt idx="7">
                  <c:v>25.685190621385907</c:v>
                </c:pt>
                <c:pt idx="8">
                  <c:v>30.545935834387674</c:v>
                </c:pt>
                <c:pt idx="9">
                  <c:v>38.558971671094348</c:v>
                </c:pt>
                <c:pt idx="10">
                  <c:v>50.267583687943834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75.296230147600639</c:v>
                </c:pt>
                <c:pt idx="2">
                  <c:v>88.040877070249081</c:v>
                </c:pt>
                <c:pt idx="3">
                  <c:v>106.52661741121335</c:v>
                </c:pt>
                <c:pt idx="4">
                  <c:v>129.58709683179265</c:v>
                </c:pt>
                <c:pt idx="6">
                  <c:v>82</c:v>
                </c:pt>
                <c:pt idx="7">
                  <c:v>75.296230147600639</c:v>
                </c:pt>
                <c:pt idx="8">
                  <c:v>88.040877070249081</c:v>
                </c:pt>
                <c:pt idx="9">
                  <c:v>106.52661741121335</c:v>
                </c:pt>
                <c:pt idx="10">
                  <c:v>129.58709683179265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(FTRA!$AA$76:$AF$76,FTRA!$AG$76:$AK$76)</c:f>
              <c:numCache>
                <c:formatCode>0.00</c:formatCode>
                <c:ptCount val="11"/>
                <c:pt idx="0">
                  <c:v>97.636812474343259</c:v>
                </c:pt>
                <c:pt idx="1">
                  <c:v>94.407567548107011</c:v>
                </c:pt>
                <c:pt idx="2">
                  <c:v>111.24930765946486</c:v>
                </c:pt>
                <c:pt idx="3">
                  <c:v>139.22643032937086</c:v>
                </c:pt>
                <c:pt idx="4">
                  <c:v>180.0336583055942</c:v>
                </c:pt>
                <c:pt idx="6">
                  <c:v>97.636812474343259</c:v>
                </c:pt>
                <c:pt idx="7">
                  <c:v>89.687189170701672</c:v>
                </c:pt>
                <c:pt idx="8">
                  <c:v>100.40250016266704</c:v>
                </c:pt>
                <c:pt idx="9">
                  <c:v>119.3692607036443</c:v>
                </c:pt>
                <c:pt idx="10">
                  <c:v>146.63853990027087</c:v>
                </c:pt>
              </c:numCache>
            </c:numRef>
          </c:val>
          <c:extLst>
            <c:ext xmlns:c16="http://schemas.microsoft.com/office/drawing/2014/chart" uri="{C3380CC4-5D6E-409C-BE32-E72D297353CC}">
              <c16:uniqueId val="{00000000-CB39-4B29-8840-1732B392D50F}"/>
            </c:ext>
          </c:extLst>
        </c:ser>
        <c:ser>
          <c:idx val="1"/>
          <c:order val="1"/>
          <c:tx>
            <c:strRef>
              <c:f>FTRA!$Z$77</c:f>
              <c:strCache>
                <c:ptCount val="1"/>
                <c:pt idx="0">
                  <c:v>Rail</c:v>
                </c:pt>
              </c:strCache>
            </c:strRef>
          </c:tx>
          <c:spPr>
            <a:solidFill>
              <a:schemeClr val="dk1">
                <a:tint val="55000"/>
              </a:schemeClr>
            </a:solidFill>
            <a:ln>
              <a:noFill/>
            </a:ln>
            <a:effectLst/>
          </c:spPr>
          <c:invertIfNegative val="0"/>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(FTRA!$AA$77:$AF$77,FTRA!$AG$77:$AK$77)</c:f>
              <c:numCache>
                <c:formatCode>0.00</c:formatCode>
                <c:ptCount val="11"/>
                <c:pt idx="0">
                  <c:v>23.057336578097956</c:v>
                </c:pt>
                <c:pt idx="1">
                  <c:v>22.294737049596247</c:v>
                </c:pt>
                <c:pt idx="2">
                  <c:v>26.271983545742096</c:v>
                </c:pt>
                <c:pt idx="3">
                  <c:v>32.878896630458662</c:v>
                </c:pt>
                <c:pt idx="4">
                  <c:v>42.515692081090634</c:v>
                </c:pt>
                <c:pt idx="6">
                  <c:v>23.057336578097956</c:v>
                </c:pt>
                <c:pt idx="7">
                  <c:v>27.015115427001614</c:v>
                </c:pt>
                <c:pt idx="8">
                  <c:v>37.118791042539939</c:v>
                </c:pt>
                <c:pt idx="9">
                  <c:v>52.736066256185204</c:v>
                </c:pt>
                <c:pt idx="10">
                  <c:v>75.910810486414007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FTRA!$Z$78</c:f>
              <c:strCache>
                <c:ptCount val="1"/>
                <c:pt idx="0">
                  <c:v>btkm</c:v>
                </c:pt>
              </c:strCache>
            </c:strRef>
          </c:tx>
          <c:spPr>
            <a:ln w="28575" cap="rnd">
              <a:solidFill>
                <a:schemeClr val="tx1"/>
              </a:solidFill>
              <a:round/>
            </a:ln>
            <a:effectLst/>
          </c:spPr>
          <c:marker>
            <c:symbol val="none"/>
          </c:marker>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(FTRA!$AA$78:$AF$78,FTRA!$AG$78:$AK$78)</c:f>
              <c:numCache>
                <c:formatCode>0.00</c:formatCode>
                <c:ptCount val="11"/>
                <c:pt idx="0">
                  <c:v>120.69414905244122</c:v>
                </c:pt>
                <c:pt idx="1">
                  <c:v>116.70230459770326</c:v>
                </c:pt>
                <c:pt idx="2">
                  <c:v>137.52129120520695</c:v>
                </c:pt>
                <c:pt idx="3">
                  <c:v>172.10532695982951</c:v>
                </c:pt>
                <c:pt idx="4">
                  <c:v>222.54935038668484</c:v>
                </c:pt>
                <c:pt idx="6">
                  <c:v>120.69414905244122</c:v>
                </c:pt>
                <c:pt idx="7">
                  <c:v>116.70230459770329</c:v>
                </c:pt>
                <c:pt idx="8">
                  <c:v>137.52129120520698</c:v>
                </c:pt>
                <c:pt idx="9">
                  <c:v>172.10532695982951</c:v>
                </c:pt>
                <c:pt idx="10">
                  <c:v>222.54935038668486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51.484135870485829</c:v>
                </c:pt>
                <c:pt idx="19">
                  <c:v>52.778865712051854</c:v>
                </c:pt>
                <c:pt idx="20">
                  <c:v>54.073595553617878</c:v>
                </c:pt>
                <c:pt idx="21">
                  <c:v>55.368325395183902</c:v>
                </c:pt>
                <c:pt idx="22">
                  <c:v>56.663055236749926</c:v>
                </c:pt>
                <c:pt idx="23">
                  <c:v>57.95778507831595</c:v>
                </c:pt>
                <c:pt idx="24">
                  <c:v>59.252514919881975</c:v>
                </c:pt>
                <c:pt idx="25">
                  <c:v>60.547244761447999</c:v>
                </c:pt>
                <c:pt idx="26">
                  <c:v>61.841974603014023</c:v>
                </c:pt>
                <c:pt idx="27">
                  <c:v>63.136704444580047</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3.4181148429418728</c:v>
                </c:pt>
                <c:pt idx="7">
                  <c:v>3.3862296858837455</c:v>
                </c:pt>
                <c:pt idx="8">
                  <c:v>3.3543445288256182</c:v>
                </c:pt>
                <c:pt idx="9">
                  <c:v>3.4141840101994489</c:v>
                </c:pt>
                <c:pt idx="10">
                  <c:v>3.4740234915732797</c:v>
                </c:pt>
                <c:pt idx="11">
                  <c:v>3.5338629729471105</c:v>
                </c:pt>
                <c:pt idx="12">
                  <c:v>3.5937024543209413</c:v>
                </c:pt>
                <c:pt idx="13">
                  <c:v>3.653541935694772</c:v>
                </c:pt>
                <c:pt idx="14">
                  <c:v>3.7133814170686028</c:v>
                </c:pt>
                <c:pt idx="15">
                  <c:v>3.7732208984424336</c:v>
                </c:pt>
                <c:pt idx="16">
                  <c:v>3.8330603798162644</c:v>
                </c:pt>
                <c:pt idx="17">
                  <c:v>3.8928998611900951</c:v>
                </c:pt>
                <c:pt idx="18">
                  <c:v>3.9527393425639255</c:v>
                </c:pt>
                <c:pt idx="19">
                  <c:v>4.0521433530657971</c:v>
                </c:pt>
                <c:pt idx="20">
                  <c:v>4.1515473635676692</c:v>
                </c:pt>
                <c:pt idx="21">
                  <c:v>4.2509513740695413</c:v>
                </c:pt>
                <c:pt idx="22">
                  <c:v>4.3503553845714134</c:v>
                </c:pt>
                <c:pt idx="23">
                  <c:v>4.4497593950732854</c:v>
                </c:pt>
                <c:pt idx="24">
                  <c:v>4.5491634055751575</c:v>
                </c:pt>
                <c:pt idx="25">
                  <c:v>4.6485674160770296</c:v>
                </c:pt>
                <c:pt idx="26">
                  <c:v>4.7479714265789017</c:v>
                </c:pt>
                <c:pt idx="27">
                  <c:v>4.8473754370807738</c:v>
                </c:pt>
                <c:pt idx="28">
                  <c:v>4.946779447582645</c:v>
                </c:pt>
                <c:pt idx="29">
                  <c:v>5.6717292871642773</c:v>
                </c:pt>
                <c:pt idx="30">
                  <c:v>6.3966791267459095</c:v>
                </c:pt>
                <c:pt idx="31">
                  <c:v>6.3966791267459095</c:v>
                </c:pt>
                <c:pt idx="32">
                  <c:v>6.3966791267459095</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0.71185835398715591</c:v>
                </c:pt>
                <c:pt idx="7">
                  <c:v>0.68770726972778673</c:v>
                </c:pt>
                <c:pt idx="8">
                  <c:v>0.66355618546841744</c:v>
                </c:pt>
                <c:pt idx="9">
                  <c:v>0.67539362722778529</c:v>
                </c:pt>
                <c:pt idx="10">
                  <c:v>0.68723106898715314</c:v>
                </c:pt>
                <c:pt idx="11">
                  <c:v>0.69906851074652099</c:v>
                </c:pt>
                <c:pt idx="12">
                  <c:v>0.71090595250588884</c:v>
                </c:pt>
                <c:pt idx="13">
                  <c:v>0.72274339426525669</c:v>
                </c:pt>
                <c:pt idx="14">
                  <c:v>0.73458083602462454</c:v>
                </c:pt>
                <c:pt idx="15">
                  <c:v>0.74641827778399239</c:v>
                </c:pt>
                <c:pt idx="16">
                  <c:v>0.75825571954336024</c:v>
                </c:pt>
                <c:pt idx="17">
                  <c:v>0.77009316130272809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1.121981066184</c:v>
                </c:pt>
                <c:pt idx="30">
                  <c:v>1.2653905895871151</c:v>
                </c:pt>
                <c:pt idx="31">
                  <c:v>1.2653905895871151</c:v>
                </c:pt>
                <c:pt idx="32">
                  <c:v>1.2653905895871151</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2.7477314345126458</c:v>
                </c:pt>
                <c:pt idx="9">
                  <c:v>2.7967493044967333</c:v>
                </c:pt>
                <c:pt idx="10">
                  <c:v>2.8457671744808208</c:v>
                </c:pt>
                <c:pt idx="11">
                  <c:v>2.8947850444649084</c:v>
                </c:pt>
                <c:pt idx="12">
                  <c:v>2.9438029144489959</c:v>
                </c:pt>
                <c:pt idx="13">
                  <c:v>2.9928207844330834</c:v>
                </c:pt>
                <c:pt idx="14">
                  <c:v>3.0418386544171709</c:v>
                </c:pt>
                <c:pt idx="15">
                  <c:v>3.0908565244012585</c:v>
                </c:pt>
                <c:pt idx="16">
                  <c:v>3.139874394385346</c:v>
                </c:pt>
                <c:pt idx="17">
                  <c:v>3.1888922643694335</c:v>
                </c:pt>
                <c:pt idx="18">
                  <c:v>3.2379101343535193</c:v>
                </c:pt>
                <c:pt idx="19">
                  <c:v>3.3193375256144417</c:v>
                </c:pt>
                <c:pt idx="20">
                  <c:v>3.4007649168753646</c:v>
                </c:pt>
                <c:pt idx="21">
                  <c:v>3.4821923081362876</c:v>
                </c:pt>
                <c:pt idx="22">
                  <c:v>3.5636196993972105</c:v>
                </c:pt>
                <c:pt idx="23">
                  <c:v>3.6450470906581334</c:v>
                </c:pt>
                <c:pt idx="24">
                  <c:v>3.7264744819190563</c:v>
                </c:pt>
                <c:pt idx="25">
                  <c:v>3.8079018731799792</c:v>
                </c:pt>
                <c:pt idx="26">
                  <c:v>3.8893292644409021</c:v>
                </c:pt>
                <c:pt idx="27">
                  <c:v>3.970756655701825</c:v>
                </c:pt>
                <c:pt idx="28">
                  <c:v>4.0521840469627461</c:v>
                </c:pt>
                <c:pt idx="29">
                  <c:v>4.6460310550876853</c:v>
                </c:pt>
                <c:pt idx="30">
                  <c:v>5.2398780632126236</c:v>
                </c:pt>
                <c:pt idx="31">
                  <c:v>5.2398780632126236</c:v>
                </c:pt>
                <c:pt idx="32">
                  <c:v>5.2398780632126236</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0.55516443430062412</c:v>
                </c:pt>
                <c:pt idx="7">
                  <c:v>0.5665218686012482</c:v>
                </c:pt>
                <c:pt idx="8">
                  <c:v>0.57787930290187217</c:v>
                </c:pt>
                <c:pt idx="9">
                  <c:v>0.58818832079945393</c:v>
                </c:pt>
                <c:pt idx="10">
                  <c:v>0.5984973386970357</c:v>
                </c:pt>
                <c:pt idx="11">
                  <c:v>0.60880635659461746</c:v>
                </c:pt>
                <c:pt idx="12">
                  <c:v>0.61911537449219922</c:v>
                </c:pt>
                <c:pt idx="13">
                  <c:v>0.62942439238978098</c:v>
                </c:pt>
                <c:pt idx="14">
                  <c:v>0.63973341028736275</c:v>
                </c:pt>
                <c:pt idx="15">
                  <c:v>0.65004242818494451</c:v>
                </c:pt>
                <c:pt idx="16">
                  <c:v>0.66035144608252627</c:v>
                </c:pt>
                <c:pt idx="17">
                  <c:v>0.67066046398010803</c:v>
                </c:pt>
                <c:pt idx="18">
                  <c:v>0.68096948187769013</c:v>
                </c:pt>
                <c:pt idx="19">
                  <c:v>0.69809459225345216</c:v>
                </c:pt>
                <c:pt idx="20">
                  <c:v>0.71521970262921419</c:v>
                </c:pt>
                <c:pt idx="21">
                  <c:v>0.73234481300497623</c:v>
                </c:pt>
                <c:pt idx="22">
                  <c:v>0.74946992338073826</c:v>
                </c:pt>
                <c:pt idx="23">
                  <c:v>0.76659503375650029</c:v>
                </c:pt>
                <c:pt idx="24">
                  <c:v>0.78372014413226232</c:v>
                </c:pt>
                <c:pt idx="25">
                  <c:v>0.80084525450802435</c:v>
                </c:pt>
                <c:pt idx="26">
                  <c:v>0.81797036488378638</c:v>
                </c:pt>
                <c:pt idx="27">
                  <c:v>0.83509547525954841</c:v>
                </c:pt>
                <c:pt idx="28">
                  <c:v>0.85222058563531033</c:v>
                </c:pt>
                <c:pt idx="29">
                  <c:v>0.97711339385347196</c:v>
                </c:pt>
                <c:pt idx="30">
                  <c:v>1.1020062020716337</c:v>
                </c:pt>
                <c:pt idx="31">
                  <c:v>1.1020062020716337</c:v>
                </c:pt>
                <c:pt idx="32">
                  <c:v>1.1020062020716337</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0.28186618115712808</c:v>
                </c:pt>
                <c:pt idx="10">
                  <c:v>0.2868063736150851</c:v>
                </c:pt>
                <c:pt idx="11">
                  <c:v>0.29174656607304211</c:v>
                </c:pt>
                <c:pt idx="12">
                  <c:v>0.29668675853099913</c:v>
                </c:pt>
                <c:pt idx="13">
                  <c:v>0.30162695098895614</c:v>
                </c:pt>
                <c:pt idx="14">
                  <c:v>0.30656714344691316</c:v>
                </c:pt>
                <c:pt idx="15">
                  <c:v>0.31150733590487018</c:v>
                </c:pt>
                <c:pt idx="16">
                  <c:v>0.31644752836282719</c:v>
                </c:pt>
                <c:pt idx="17">
                  <c:v>0.32138772082078421</c:v>
                </c:pt>
                <c:pt idx="18">
                  <c:v>0.32632791327874133</c:v>
                </c:pt>
                <c:pt idx="19">
                  <c:v>0.33453445069680771</c:v>
                </c:pt>
                <c:pt idx="20">
                  <c:v>0.34274098811487408</c:v>
                </c:pt>
                <c:pt idx="21">
                  <c:v>0.35094752553294045</c:v>
                </c:pt>
                <c:pt idx="22">
                  <c:v>0.35915406295100682</c:v>
                </c:pt>
                <c:pt idx="23">
                  <c:v>0.3673606003690732</c:v>
                </c:pt>
                <c:pt idx="24">
                  <c:v>0.37556713778713957</c:v>
                </c:pt>
                <c:pt idx="25">
                  <c:v>0.38377367520520594</c:v>
                </c:pt>
                <c:pt idx="26">
                  <c:v>0.39198021262327232</c:v>
                </c:pt>
                <c:pt idx="27">
                  <c:v>0.40018675004133869</c:v>
                </c:pt>
                <c:pt idx="28">
                  <c:v>0.40839328745940517</c:v>
                </c:pt>
                <c:pt idx="29">
                  <c:v>0.46824326689897561</c:v>
                </c:pt>
                <c:pt idx="30">
                  <c:v>0.52809324633854615</c:v>
                </c:pt>
                <c:pt idx="31">
                  <c:v>0.52809324633854615</c:v>
                </c:pt>
                <c:pt idx="32">
                  <c:v>0.52809324633854615</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6.6407838452289196</c:v>
                </c:pt>
                <c:pt idx="6">
                  <c:v>6.1283916780391117</c:v>
                </c:pt>
                <c:pt idx="7">
                  <c:v>5.6159995108493037</c:v>
                </c:pt>
                <c:pt idx="8">
                  <c:v>5.1036073436594949</c:v>
                </c:pt>
                <c:pt idx="9">
                  <c:v>5.1946526176186314</c:v>
                </c:pt>
                <c:pt idx="10">
                  <c:v>5.2856978915777679</c:v>
                </c:pt>
                <c:pt idx="11">
                  <c:v>5.3767431655369045</c:v>
                </c:pt>
                <c:pt idx="12">
                  <c:v>5.467788439496041</c:v>
                </c:pt>
                <c:pt idx="13">
                  <c:v>5.5588337134551775</c:v>
                </c:pt>
                <c:pt idx="14">
                  <c:v>5.649878987414314</c:v>
                </c:pt>
                <c:pt idx="15">
                  <c:v>5.7409242613734506</c:v>
                </c:pt>
                <c:pt idx="16">
                  <c:v>5.8319695353325871</c:v>
                </c:pt>
                <c:pt idx="17">
                  <c:v>5.9230148092917236</c:v>
                </c:pt>
                <c:pt idx="18">
                  <c:v>6.0140600832508566</c:v>
                </c:pt>
                <c:pt idx="19">
                  <c:v>6.1653024597053037</c:v>
                </c:pt>
                <c:pt idx="20">
                  <c:v>6.3165448361597507</c:v>
                </c:pt>
                <c:pt idx="21">
                  <c:v>6.4677872126141978</c:v>
                </c:pt>
                <c:pt idx="22">
                  <c:v>6.6190295890686448</c:v>
                </c:pt>
                <c:pt idx="23">
                  <c:v>6.7702719655230919</c:v>
                </c:pt>
                <c:pt idx="24">
                  <c:v>6.9215143419775389</c:v>
                </c:pt>
                <c:pt idx="25">
                  <c:v>7.0727567184319859</c:v>
                </c:pt>
                <c:pt idx="26">
                  <c:v>7.223999094886433</c:v>
                </c:pt>
                <c:pt idx="27">
                  <c:v>7.37524147134088</c:v>
                </c:pt>
                <c:pt idx="28">
                  <c:v>7.5264838477953289</c:v>
                </c:pt>
                <c:pt idx="29">
                  <c:v>8.6294890082011193</c:v>
                </c:pt>
                <c:pt idx="30">
                  <c:v>9.7324941686069124</c:v>
                </c:pt>
                <c:pt idx="31">
                  <c:v>9.7324941686069124</c:v>
                </c:pt>
                <c:pt idx="32">
                  <c:v>9.7324941686069124</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1.7154258338741826</c:v>
                </c:pt>
                <c:pt idx="7">
                  <c:v>1.6508516677483651</c:v>
                </c:pt>
                <c:pt idx="8">
                  <c:v>1.5862775016225477</c:v>
                </c:pt>
                <c:pt idx="9">
                  <c:v>1.6145757346145242</c:v>
                </c:pt>
                <c:pt idx="10">
                  <c:v>1.6428739676065007</c:v>
                </c:pt>
                <c:pt idx="11">
                  <c:v>1.6711722005984773</c:v>
                </c:pt>
                <c:pt idx="12">
                  <c:v>1.6994704335904538</c:v>
                </c:pt>
                <c:pt idx="13">
                  <c:v>1.7277686665824303</c:v>
                </c:pt>
                <c:pt idx="14">
                  <c:v>1.7560668995744069</c:v>
                </c:pt>
                <c:pt idx="15">
                  <c:v>1.7843651325663834</c:v>
                </c:pt>
                <c:pt idx="16">
                  <c:v>1.8126633655583599</c:v>
                </c:pt>
                <c:pt idx="17">
                  <c:v>1.8409615985503365</c:v>
                </c:pt>
                <c:pt idx="18">
                  <c:v>1.8692598315423132</c:v>
                </c:pt>
                <c:pt idx="19">
                  <c:v>1.9162682244116578</c:v>
                </c:pt>
                <c:pt idx="20">
                  <c:v>1.9632766172810023</c:v>
                </c:pt>
                <c:pt idx="21">
                  <c:v>2.0102850101503469</c:v>
                </c:pt>
                <c:pt idx="22">
                  <c:v>2.0572934030196914</c:v>
                </c:pt>
                <c:pt idx="23">
                  <c:v>2.104301795889036</c:v>
                </c:pt>
                <c:pt idx="24">
                  <c:v>2.1513101887583805</c:v>
                </c:pt>
                <c:pt idx="25">
                  <c:v>2.1983185816277251</c:v>
                </c:pt>
                <c:pt idx="26">
                  <c:v>2.2453269744970696</c:v>
                </c:pt>
                <c:pt idx="27">
                  <c:v>2.2923353673664142</c:v>
                </c:pt>
                <c:pt idx="28">
                  <c:v>2.3393437602357587</c:v>
                </c:pt>
                <c:pt idx="29">
                  <c:v>2.6821742627231799</c:v>
                </c:pt>
                <c:pt idx="30">
                  <c:v>3.0250047652106011</c:v>
                </c:pt>
                <c:pt idx="31">
                  <c:v>3.0250047652106011</c:v>
                </c:pt>
                <c:pt idx="32">
                  <c:v>3.0250047652106011</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8.7787356992028109E-2</c:v>
                </c:pt>
                <c:pt idx="7">
                  <c:v>7.3528530532760233E-2</c:v>
                </c:pt>
                <c:pt idx="8">
                  <c:v>5.9269704073492351E-2</c:v>
                </c:pt>
                <c:pt idx="9">
                  <c:v>6.0327039812996697E-2</c:v>
                </c:pt>
                <c:pt idx="10">
                  <c:v>6.138437555250105E-2</c:v>
                </c:pt>
                <c:pt idx="11">
                  <c:v>6.2441711292005403E-2</c:v>
                </c:pt>
                <c:pt idx="12">
                  <c:v>6.3499047031509756E-2</c:v>
                </c:pt>
                <c:pt idx="13">
                  <c:v>6.4556382771014109E-2</c:v>
                </c:pt>
                <c:pt idx="14">
                  <c:v>6.5613718510518462E-2</c:v>
                </c:pt>
                <c:pt idx="15">
                  <c:v>6.6671054250022815E-2</c:v>
                </c:pt>
                <c:pt idx="16">
                  <c:v>6.7728389989527168E-2</c:v>
                </c:pt>
                <c:pt idx="17">
                  <c:v>6.8785725729031522E-2</c:v>
                </c:pt>
                <c:pt idx="18">
                  <c:v>6.9843061468535847E-2</c:v>
                </c:pt>
                <c:pt idx="19">
                  <c:v>7.1599483993274829E-2</c:v>
                </c:pt>
                <c:pt idx="20">
                  <c:v>7.3355906518013811E-2</c:v>
                </c:pt>
                <c:pt idx="21">
                  <c:v>7.5112329042752793E-2</c:v>
                </c:pt>
                <c:pt idx="22">
                  <c:v>7.6868751567491775E-2</c:v>
                </c:pt>
                <c:pt idx="23">
                  <c:v>7.8625174092230757E-2</c:v>
                </c:pt>
                <c:pt idx="24">
                  <c:v>8.0381596616969739E-2</c:v>
                </c:pt>
                <c:pt idx="25">
                  <c:v>8.2138019141708721E-2</c:v>
                </c:pt>
                <c:pt idx="26">
                  <c:v>8.3894441666447703E-2</c:v>
                </c:pt>
                <c:pt idx="27">
                  <c:v>8.5650864191186685E-2</c:v>
                </c:pt>
                <c:pt idx="28">
                  <c:v>8.7407286715925653E-2</c:v>
                </c:pt>
                <c:pt idx="29">
                  <c:v>0.10021681241934896</c:v>
                </c:pt>
                <c:pt idx="30">
                  <c:v>0.11302633812277227</c:v>
                </c:pt>
                <c:pt idx="31">
                  <c:v>0.11302633812277227</c:v>
                </c:pt>
                <c:pt idx="32">
                  <c:v>0.11302633812277227</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2.8615616060068422E-2</c:v>
                </c:pt>
                <c:pt idx="7">
                  <c:v>3.4560232120136848E-2</c:v>
                </c:pt>
                <c:pt idx="8">
                  <c:v>4.050484818020527E-2</c:v>
                </c:pt>
                <c:pt idx="9">
                  <c:v>4.122743021893157E-2</c:v>
                </c:pt>
                <c:pt idx="10">
                  <c:v>4.1950012257657869E-2</c:v>
                </c:pt>
                <c:pt idx="11">
                  <c:v>4.2672594296384168E-2</c:v>
                </c:pt>
                <c:pt idx="12">
                  <c:v>4.3395176335110468E-2</c:v>
                </c:pt>
                <c:pt idx="13">
                  <c:v>4.4117758373836767E-2</c:v>
                </c:pt>
                <c:pt idx="14">
                  <c:v>4.4840340412563066E-2</c:v>
                </c:pt>
                <c:pt idx="15">
                  <c:v>4.5562922451289366E-2</c:v>
                </c:pt>
                <c:pt idx="16">
                  <c:v>4.6285504490015665E-2</c:v>
                </c:pt>
                <c:pt idx="17">
                  <c:v>4.7008086528741964E-2</c:v>
                </c:pt>
                <c:pt idx="18">
                  <c:v>4.7730668567468292E-2</c:v>
                </c:pt>
                <c:pt idx="19">
                  <c:v>4.893100571807444E-2</c:v>
                </c:pt>
                <c:pt idx="20">
                  <c:v>5.0131342868680588E-2</c:v>
                </c:pt>
                <c:pt idx="21">
                  <c:v>5.1331680019286736E-2</c:v>
                </c:pt>
                <c:pt idx="22">
                  <c:v>5.2532017169892885E-2</c:v>
                </c:pt>
                <c:pt idx="23">
                  <c:v>5.3732354320499033E-2</c:v>
                </c:pt>
                <c:pt idx="24">
                  <c:v>5.4932691471105181E-2</c:v>
                </c:pt>
                <c:pt idx="25">
                  <c:v>5.613302862171133E-2</c:v>
                </c:pt>
                <c:pt idx="26">
                  <c:v>5.7333365772317478E-2</c:v>
                </c:pt>
                <c:pt idx="27">
                  <c:v>5.8533702922923626E-2</c:v>
                </c:pt>
                <c:pt idx="28">
                  <c:v>5.9734040073529754E-2</c:v>
                </c:pt>
                <c:pt idx="29">
                  <c:v>6.848805533289809E-2</c:v>
                </c:pt>
                <c:pt idx="30">
                  <c:v>7.724207059226644E-2</c:v>
                </c:pt>
                <c:pt idx="31">
                  <c:v>7.724207059226644E-2</c:v>
                </c:pt>
                <c:pt idx="32">
                  <c:v>7.724207059226644E-2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22.352445526032653</c:v>
                </c:pt>
                <c:pt idx="2">
                  <c:v>22.704891052065307</c:v>
                </c:pt>
                <c:pt idx="3">
                  <c:v>23.057336578097956</c:v>
                </c:pt>
                <c:pt idx="4">
                  <c:v>23.249070137552081</c:v>
                </c:pt>
                <c:pt idx="5">
                  <c:v>23.44080369700621</c:v>
                </c:pt>
                <c:pt idx="6">
                  <c:v>23.058781481202889</c:v>
                </c:pt>
                <c:pt idx="7">
                  <c:v>22.676759265399568</c:v>
                </c:pt>
                <c:pt idx="8">
                  <c:v>22.294737049596247</c:v>
                </c:pt>
                <c:pt idx="9">
                  <c:v>22.692461699210831</c:v>
                </c:pt>
                <c:pt idx="10">
                  <c:v>23.090186348825416</c:v>
                </c:pt>
                <c:pt idx="11">
                  <c:v>23.48791099844</c:v>
                </c:pt>
                <c:pt idx="12">
                  <c:v>23.885635648054585</c:v>
                </c:pt>
                <c:pt idx="13">
                  <c:v>24.283360297669169</c:v>
                </c:pt>
                <c:pt idx="14">
                  <c:v>24.681084947283754</c:v>
                </c:pt>
                <c:pt idx="15">
                  <c:v>25.078809596898338</c:v>
                </c:pt>
                <c:pt idx="16">
                  <c:v>25.476534246512923</c:v>
                </c:pt>
                <c:pt idx="17">
                  <c:v>25.874258896127508</c:v>
                </c:pt>
                <c:pt idx="18">
                  <c:v>26.271983545742096</c:v>
                </c:pt>
                <c:pt idx="19">
                  <c:v>26.932674854213751</c:v>
                </c:pt>
                <c:pt idx="20">
                  <c:v>27.593366162685406</c:v>
                </c:pt>
                <c:pt idx="21">
                  <c:v>28.254057471157061</c:v>
                </c:pt>
                <c:pt idx="22">
                  <c:v>28.914748779628717</c:v>
                </c:pt>
                <c:pt idx="23">
                  <c:v>29.575440088100372</c:v>
                </c:pt>
                <c:pt idx="24">
                  <c:v>30.236131396572027</c:v>
                </c:pt>
                <c:pt idx="25">
                  <c:v>30.896822705043682</c:v>
                </c:pt>
                <c:pt idx="26">
                  <c:v>31.557514013515338</c:v>
                </c:pt>
                <c:pt idx="27">
                  <c:v>32.218205321986993</c:v>
                </c:pt>
                <c:pt idx="28">
                  <c:v>32.878896630458662</c:v>
                </c:pt>
                <c:pt idx="29">
                  <c:v>37.697294355774659</c:v>
                </c:pt>
                <c:pt idx="30">
                  <c:v>42.515692081090634</c:v>
                </c:pt>
                <c:pt idx="31">
                  <c:v>42.515692081090634</c:v>
                </c:pt>
                <c:pt idx="32">
                  <c:v>42.515692081090634</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25.099999999999998</c:v>
                </c:pt>
                <c:pt idx="1">
                  <c:v>25.50210830470089</c:v>
                </c:pt>
                <c:pt idx="2">
                  <c:v>25.904216609401782</c:v>
                </c:pt>
                <c:pt idx="3">
                  <c:v>26.306324914102674</c:v>
                </c:pt>
                <c:pt idx="4">
                  <c:v>26.525075475116246</c:v>
                </c:pt>
                <c:pt idx="5">
                  <c:v>26.743826036129818</c:v>
                </c:pt>
                <c:pt idx="6">
                  <c:v>26.307973417190574</c:v>
                </c:pt>
                <c:pt idx="7">
                  <c:v>25.872120798251331</c:v>
                </c:pt>
                <c:pt idx="8">
                  <c:v>25.436268179312087</c:v>
                </c:pt>
                <c:pt idx="9">
                  <c:v>25.890035847736002</c:v>
                </c:pt>
                <c:pt idx="10">
                  <c:v>26.343803516159916</c:v>
                </c:pt>
                <c:pt idx="11">
                  <c:v>26.79757118458383</c:v>
                </c:pt>
                <c:pt idx="12">
                  <c:v>27.251338853007745</c:v>
                </c:pt>
                <c:pt idx="13">
                  <c:v>27.705106521431659</c:v>
                </c:pt>
                <c:pt idx="14">
                  <c:v>28.158874189855574</c:v>
                </c:pt>
                <c:pt idx="15">
                  <c:v>28.612641858279488</c:v>
                </c:pt>
                <c:pt idx="16">
                  <c:v>29.066409526703403</c:v>
                </c:pt>
                <c:pt idx="17">
                  <c:v>29.520177195127317</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37.511832064750578</c:v>
                </c:pt>
                <c:pt idx="29">
                  <c:v>43.009185833179259</c:v>
                </c:pt>
                <c:pt idx="30">
                  <c:v>48.506539601607962</c:v>
                </c:pt>
                <c:pt idx="31">
                  <c:v>48.506539601607962</c:v>
                </c:pt>
                <c:pt idx="32">
                  <c:v>48.506539601607962</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51.484135870485829</c:v>
                </c:pt>
                <c:pt idx="19">
                  <c:v>52.778865712051854</c:v>
                </c:pt>
                <c:pt idx="20">
                  <c:v>54.073595553617878</c:v>
                </c:pt>
                <c:pt idx="21">
                  <c:v>55.368325395183902</c:v>
                </c:pt>
                <c:pt idx="22">
                  <c:v>56.663055236749926</c:v>
                </c:pt>
                <c:pt idx="23">
                  <c:v>57.95778507831595</c:v>
                </c:pt>
                <c:pt idx="24">
                  <c:v>59.252514919881975</c:v>
                </c:pt>
                <c:pt idx="25">
                  <c:v>60.547244761447999</c:v>
                </c:pt>
                <c:pt idx="26">
                  <c:v>61.841974603014023</c:v>
                </c:pt>
                <c:pt idx="27">
                  <c:v>63.136704444580047</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3.4181148429418728</c:v>
                </c:pt>
                <c:pt idx="7">
                  <c:v>3.3862296858837455</c:v>
                </c:pt>
                <c:pt idx="8">
                  <c:v>3.3543445288256182</c:v>
                </c:pt>
                <c:pt idx="9">
                  <c:v>3.4141840101994489</c:v>
                </c:pt>
                <c:pt idx="10">
                  <c:v>3.4740234915732797</c:v>
                </c:pt>
                <c:pt idx="11">
                  <c:v>3.5338629729471105</c:v>
                </c:pt>
                <c:pt idx="12">
                  <c:v>3.5937024543209413</c:v>
                </c:pt>
                <c:pt idx="13">
                  <c:v>3.653541935694772</c:v>
                </c:pt>
                <c:pt idx="14">
                  <c:v>3.7133814170686028</c:v>
                </c:pt>
                <c:pt idx="15">
                  <c:v>3.7732208984424336</c:v>
                </c:pt>
                <c:pt idx="16">
                  <c:v>3.8330603798162644</c:v>
                </c:pt>
                <c:pt idx="17">
                  <c:v>3.8928998611900951</c:v>
                </c:pt>
                <c:pt idx="18">
                  <c:v>3.9527393425639255</c:v>
                </c:pt>
                <c:pt idx="19">
                  <c:v>4.0521433530657971</c:v>
                </c:pt>
                <c:pt idx="20">
                  <c:v>4.1515473635676692</c:v>
                </c:pt>
                <c:pt idx="21">
                  <c:v>4.2509513740695413</c:v>
                </c:pt>
                <c:pt idx="22">
                  <c:v>4.3503553845714134</c:v>
                </c:pt>
                <c:pt idx="23">
                  <c:v>4.4497593950732854</c:v>
                </c:pt>
                <c:pt idx="24">
                  <c:v>4.5491634055751575</c:v>
                </c:pt>
                <c:pt idx="25">
                  <c:v>4.6485674160770296</c:v>
                </c:pt>
                <c:pt idx="26">
                  <c:v>4.7479714265789017</c:v>
                </c:pt>
                <c:pt idx="27">
                  <c:v>4.8473754370807738</c:v>
                </c:pt>
                <c:pt idx="28">
                  <c:v>4.946779447582645</c:v>
                </c:pt>
                <c:pt idx="29">
                  <c:v>5.0917694154989714</c:v>
                </c:pt>
                <c:pt idx="30">
                  <c:v>5.2367593834152979</c:v>
                </c:pt>
                <c:pt idx="31">
                  <c:v>5.3817493513316244</c:v>
                </c:pt>
                <c:pt idx="32">
                  <c:v>5.5267393192479508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0.71185835398715591</c:v>
                </c:pt>
                <c:pt idx="7">
                  <c:v>0.68770726972778673</c:v>
                </c:pt>
                <c:pt idx="8">
                  <c:v>0.66355618546841744</c:v>
                </c:pt>
                <c:pt idx="9">
                  <c:v>0.67539362722778529</c:v>
                </c:pt>
                <c:pt idx="10">
                  <c:v>0.68723106898715314</c:v>
                </c:pt>
                <c:pt idx="11">
                  <c:v>0.69906851074652099</c:v>
                </c:pt>
                <c:pt idx="12">
                  <c:v>0.71090595250588884</c:v>
                </c:pt>
                <c:pt idx="13">
                  <c:v>0.72274339426525669</c:v>
                </c:pt>
                <c:pt idx="14">
                  <c:v>0.73458083602462454</c:v>
                </c:pt>
                <c:pt idx="15">
                  <c:v>0.74641827778399239</c:v>
                </c:pt>
                <c:pt idx="16">
                  <c:v>0.75825571954336024</c:v>
                </c:pt>
                <c:pt idx="17">
                  <c:v>0.77009316130272809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1.0072534474615078</c:v>
                </c:pt>
                <c:pt idx="30">
                  <c:v>1.0359353521421308</c:v>
                </c:pt>
                <c:pt idx="31">
                  <c:v>1.0646172568227539</c:v>
                </c:pt>
                <c:pt idx="32">
                  <c:v>1.0932991615033769</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2.7477314345126458</c:v>
                </c:pt>
                <c:pt idx="9">
                  <c:v>2.7967493044967333</c:v>
                </c:pt>
                <c:pt idx="10">
                  <c:v>2.8457671744808208</c:v>
                </c:pt>
                <c:pt idx="11">
                  <c:v>2.8947850444649084</c:v>
                </c:pt>
                <c:pt idx="12">
                  <c:v>2.9438029144489959</c:v>
                </c:pt>
                <c:pt idx="13">
                  <c:v>2.9928207844330834</c:v>
                </c:pt>
                <c:pt idx="14">
                  <c:v>3.0418386544171709</c:v>
                </c:pt>
                <c:pt idx="15">
                  <c:v>3.0908565244012585</c:v>
                </c:pt>
                <c:pt idx="16">
                  <c:v>3.139874394385346</c:v>
                </c:pt>
                <c:pt idx="17">
                  <c:v>3.1888922643694335</c:v>
                </c:pt>
                <c:pt idx="18">
                  <c:v>3.2379101343535193</c:v>
                </c:pt>
                <c:pt idx="19">
                  <c:v>3.3193375256144417</c:v>
                </c:pt>
                <c:pt idx="20">
                  <c:v>3.4007649168753646</c:v>
                </c:pt>
                <c:pt idx="21">
                  <c:v>3.4821923081362876</c:v>
                </c:pt>
                <c:pt idx="22">
                  <c:v>3.5636196993972105</c:v>
                </c:pt>
                <c:pt idx="23">
                  <c:v>3.6450470906581334</c:v>
                </c:pt>
                <c:pt idx="24">
                  <c:v>3.7264744819190563</c:v>
                </c:pt>
                <c:pt idx="25">
                  <c:v>3.8079018731799792</c:v>
                </c:pt>
                <c:pt idx="26">
                  <c:v>3.8893292644409021</c:v>
                </c:pt>
                <c:pt idx="27">
                  <c:v>3.970756655701825</c:v>
                </c:pt>
                <c:pt idx="28">
                  <c:v>4.0521840469627461</c:v>
                </c:pt>
                <c:pt idx="29">
                  <c:v>4.170953448587734</c:v>
                </c:pt>
                <c:pt idx="30">
                  <c:v>4.2897228502127218</c:v>
                </c:pt>
                <c:pt idx="31">
                  <c:v>4.4084922518377097</c:v>
                </c:pt>
                <c:pt idx="32">
                  <c:v>4.5272616534626975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0.55516443430062412</c:v>
                </c:pt>
                <c:pt idx="7">
                  <c:v>0.5665218686012482</c:v>
                </c:pt>
                <c:pt idx="8">
                  <c:v>0.57787930290187217</c:v>
                </c:pt>
                <c:pt idx="9">
                  <c:v>0.58818832079945393</c:v>
                </c:pt>
                <c:pt idx="10">
                  <c:v>0.5984973386970357</c:v>
                </c:pt>
                <c:pt idx="11">
                  <c:v>0.60880635659461746</c:v>
                </c:pt>
                <c:pt idx="12">
                  <c:v>0.61911537449219922</c:v>
                </c:pt>
                <c:pt idx="13">
                  <c:v>0.62942439238978098</c:v>
                </c:pt>
                <c:pt idx="14">
                  <c:v>0.63973341028736275</c:v>
                </c:pt>
                <c:pt idx="15">
                  <c:v>0.65004242818494451</c:v>
                </c:pt>
                <c:pt idx="16">
                  <c:v>0.66035144608252627</c:v>
                </c:pt>
                <c:pt idx="17">
                  <c:v>0.67066046398010803</c:v>
                </c:pt>
                <c:pt idx="18">
                  <c:v>0.68096948187769013</c:v>
                </c:pt>
                <c:pt idx="19">
                  <c:v>0.69809459225345216</c:v>
                </c:pt>
                <c:pt idx="20">
                  <c:v>0.71521970262921419</c:v>
                </c:pt>
                <c:pt idx="21">
                  <c:v>0.73234481300497623</c:v>
                </c:pt>
                <c:pt idx="22">
                  <c:v>0.74946992338073826</c:v>
                </c:pt>
                <c:pt idx="23">
                  <c:v>0.76659503375650029</c:v>
                </c:pt>
                <c:pt idx="24">
                  <c:v>0.78372014413226232</c:v>
                </c:pt>
                <c:pt idx="25">
                  <c:v>0.80084525450802435</c:v>
                </c:pt>
                <c:pt idx="26">
                  <c:v>0.81797036488378638</c:v>
                </c:pt>
                <c:pt idx="27">
                  <c:v>0.83509547525954841</c:v>
                </c:pt>
                <c:pt idx="28">
                  <c:v>0.85222058563531033</c:v>
                </c:pt>
                <c:pt idx="29">
                  <c:v>0.87719914727894266</c:v>
                </c:pt>
                <c:pt idx="30">
                  <c:v>0.90217770892257498</c:v>
                </c:pt>
                <c:pt idx="31">
                  <c:v>0.92715627056620731</c:v>
                </c:pt>
                <c:pt idx="32">
                  <c:v>0.95213483220983963</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0.28186618115712808</c:v>
                </c:pt>
                <c:pt idx="10">
                  <c:v>0.2868063736150851</c:v>
                </c:pt>
                <c:pt idx="11">
                  <c:v>0.29174656607304211</c:v>
                </c:pt>
                <c:pt idx="12">
                  <c:v>0.29668675853099913</c:v>
                </c:pt>
                <c:pt idx="13">
                  <c:v>0.30162695098895614</c:v>
                </c:pt>
                <c:pt idx="14">
                  <c:v>0.30656714344691316</c:v>
                </c:pt>
                <c:pt idx="15">
                  <c:v>0.31150733590487018</c:v>
                </c:pt>
                <c:pt idx="16">
                  <c:v>0.31644752836282719</c:v>
                </c:pt>
                <c:pt idx="17">
                  <c:v>0.32138772082078421</c:v>
                </c:pt>
                <c:pt idx="18">
                  <c:v>0.32632791327874133</c:v>
                </c:pt>
                <c:pt idx="19">
                  <c:v>0.33453445069680771</c:v>
                </c:pt>
                <c:pt idx="20">
                  <c:v>0.34274098811487408</c:v>
                </c:pt>
                <c:pt idx="21">
                  <c:v>0.35094752553294045</c:v>
                </c:pt>
                <c:pt idx="22">
                  <c:v>0.35915406295100682</c:v>
                </c:pt>
                <c:pt idx="23">
                  <c:v>0.3673606003690732</c:v>
                </c:pt>
                <c:pt idx="24">
                  <c:v>0.37556713778713957</c:v>
                </c:pt>
                <c:pt idx="25">
                  <c:v>0.38377367520520594</c:v>
                </c:pt>
                <c:pt idx="26">
                  <c:v>0.39198021262327232</c:v>
                </c:pt>
                <c:pt idx="27">
                  <c:v>0.40018675004133869</c:v>
                </c:pt>
                <c:pt idx="28">
                  <c:v>0.40839328745940517</c:v>
                </c:pt>
                <c:pt idx="29">
                  <c:v>0.42036328334731926</c:v>
                </c:pt>
                <c:pt idx="30">
                  <c:v>0.43233327923523335</c:v>
                </c:pt>
                <c:pt idx="31">
                  <c:v>0.44430327512314743</c:v>
                </c:pt>
                <c:pt idx="32">
                  <c:v>0.45627327101106152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6.6407838452289196</c:v>
                </c:pt>
                <c:pt idx="6">
                  <c:v>6.1283916780391117</c:v>
                </c:pt>
                <c:pt idx="7">
                  <c:v>5.6159995108493037</c:v>
                </c:pt>
                <c:pt idx="8">
                  <c:v>5.1036073436594949</c:v>
                </c:pt>
                <c:pt idx="9">
                  <c:v>5.1946526176186314</c:v>
                </c:pt>
                <c:pt idx="10">
                  <c:v>5.2856978915777679</c:v>
                </c:pt>
                <c:pt idx="11">
                  <c:v>5.3767431655369045</c:v>
                </c:pt>
                <c:pt idx="12">
                  <c:v>5.467788439496041</c:v>
                </c:pt>
                <c:pt idx="13">
                  <c:v>5.5588337134551775</c:v>
                </c:pt>
                <c:pt idx="14">
                  <c:v>5.649878987414314</c:v>
                </c:pt>
                <c:pt idx="15">
                  <c:v>5.7409242613734506</c:v>
                </c:pt>
                <c:pt idx="16">
                  <c:v>5.8319695353325871</c:v>
                </c:pt>
                <c:pt idx="17">
                  <c:v>5.9230148092917236</c:v>
                </c:pt>
                <c:pt idx="18">
                  <c:v>6.0140600832508566</c:v>
                </c:pt>
                <c:pt idx="19">
                  <c:v>6.1653024597053037</c:v>
                </c:pt>
                <c:pt idx="20">
                  <c:v>6.3165448361597507</c:v>
                </c:pt>
                <c:pt idx="21">
                  <c:v>6.4677872126141978</c:v>
                </c:pt>
                <c:pt idx="22">
                  <c:v>6.6190295890686448</c:v>
                </c:pt>
                <c:pt idx="23">
                  <c:v>6.7702719655230919</c:v>
                </c:pt>
                <c:pt idx="24">
                  <c:v>6.9215143419775389</c:v>
                </c:pt>
                <c:pt idx="25">
                  <c:v>7.0727567184319859</c:v>
                </c:pt>
                <c:pt idx="26">
                  <c:v>7.223999094886433</c:v>
                </c:pt>
                <c:pt idx="27">
                  <c:v>7.37524147134088</c:v>
                </c:pt>
                <c:pt idx="28">
                  <c:v>7.5264838477953289</c:v>
                </c:pt>
                <c:pt idx="29">
                  <c:v>7.7470848798764873</c:v>
                </c:pt>
                <c:pt idx="30">
                  <c:v>7.9676859119576458</c:v>
                </c:pt>
                <c:pt idx="31">
                  <c:v>8.1882869440388042</c:v>
                </c:pt>
                <c:pt idx="32">
                  <c:v>8.4088879761199617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1.7154258338741826</c:v>
                </c:pt>
                <c:pt idx="7">
                  <c:v>1.6508516677483651</c:v>
                </c:pt>
                <c:pt idx="8">
                  <c:v>1.5862775016225477</c:v>
                </c:pt>
                <c:pt idx="9">
                  <c:v>1.6145757346145242</c:v>
                </c:pt>
                <c:pt idx="10">
                  <c:v>1.6428739676065007</c:v>
                </c:pt>
                <c:pt idx="11">
                  <c:v>1.6711722005984773</c:v>
                </c:pt>
                <c:pt idx="12">
                  <c:v>1.6994704335904538</c:v>
                </c:pt>
                <c:pt idx="13">
                  <c:v>1.7277686665824303</c:v>
                </c:pt>
                <c:pt idx="14">
                  <c:v>1.7560668995744069</c:v>
                </c:pt>
                <c:pt idx="15">
                  <c:v>1.7843651325663834</c:v>
                </c:pt>
                <c:pt idx="16">
                  <c:v>1.8126633655583599</c:v>
                </c:pt>
                <c:pt idx="17">
                  <c:v>1.8409615985503365</c:v>
                </c:pt>
                <c:pt idx="18">
                  <c:v>1.8692598315423132</c:v>
                </c:pt>
                <c:pt idx="19">
                  <c:v>1.9162682244116578</c:v>
                </c:pt>
                <c:pt idx="20">
                  <c:v>1.9632766172810023</c:v>
                </c:pt>
                <c:pt idx="21">
                  <c:v>2.0102850101503469</c:v>
                </c:pt>
                <c:pt idx="22">
                  <c:v>2.0572934030196914</c:v>
                </c:pt>
                <c:pt idx="23">
                  <c:v>2.104301795889036</c:v>
                </c:pt>
                <c:pt idx="24">
                  <c:v>2.1513101887583805</c:v>
                </c:pt>
                <c:pt idx="25">
                  <c:v>2.1983185816277251</c:v>
                </c:pt>
                <c:pt idx="26">
                  <c:v>2.2453269744970696</c:v>
                </c:pt>
                <c:pt idx="27">
                  <c:v>2.2923353673664142</c:v>
                </c:pt>
                <c:pt idx="28">
                  <c:v>2.3393437602357587</c:v>
                </c:pt>
                <c:pt idx="29">
                  <c:v>2.407909860733243</c:v>
                </c:pt>
                <c:pt idx="30">
                  <c:v>2.4764759612307272</c:v>
                </c:pt>
                <c:pt idx="31">
                  <c:v>2.5450420617282115</c:v>
                </c:pt>
                <c:pt idx="32">
                  <c:v>2.6136081622256957</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8.7787356992028109E-2</c:v>
                </c:pt>
                <c:pt idx="7">
                  <c:v>7.3528530532760233E-2</c:v>
                </c:pt>
                <c:pt idx="8">
                  <c:v>5.9269704073492351E-2</c:v>
                </c:pt>
                <c:pt idx="9">
                  <c:v>6.0327039812996697E-2</c:v>
                </c:pt>
                <c:pt idx="10">
                  <c:v>6.138437555250105E-2</c:v>
                </c:pt>
                <c:pt idx="11">
                  <c:v>6.2441711292005403E-2</c:v>
                </c:pt>
                <c:pt idx="12">
                  <c:v>6.3499047031509756E-2</c:v>
                </c:pt>
                <c:pt idx="13">
                  <c:v>6.4556382771014109E-2</c:v>
                </c:pt>
                <c:pt idx="14">
                  <c:v>6.5613718510518462E-2</c:v>
                </c:pt>
                <c:pt idx="15">
                  <c:v>6.6671054250022815E-2</c:v>
                </c:pt>
                <c:pt idx="16">
                  <c:v>6.7728389989527168E-2</c:v>
                </c:pt>
                <c:pt idx="17">
                  <c:v>6.8785725729031522E-2</c:v>
                </c:pt>
                <c:pt idx="18">
                  <c:v>6.9843061468535847E-2</c:v>
                </c:pt>
                <c:pt idx="19">
                  <c:v>7.1599483993274829E-2</c:v>
                </c:pt>
                <c:pt idx="20">
                  <c:v>7.3355906518013811E-2</c:v>
                </c:pt>
                <c:pt idx="21">
                  <c:v>7.5112329042752793E-2</c:v>
                </c:pt>
                <c:pt idx="22">
                  <c:v>7.6868751567491775E-2</c:v>
                </c:pt>
                <c:pt idx="23">
                  <c:v>7.8625174092230757E-2</c:v>
                </c:pt>
                <c:pt idx="24">
                  <c:v>8.0381596616969739E-2</c:v>
                </c:pt>
                <c:pt idx="25">
                  <c:v>8.2138019141708721E-2</c:v>
                </c:pt>
                <c:pt idx="26">
                  <c:v>8.3894441666447703E-2</c:v>
                </c:pt>
                <c:pt idx="27">
                  <c:v>8.5650864191186685E-2</c:v>
                </c:pt>
                <c:pt idx="28">
                  <c:v>8.7407286715925653E-2</c:v>
                </c:pt>
                <c:pt idx="29">
                  <c:v>8.9969191856610314E-2</c:v>
                </c:pt>
                <c:pt idx="30">
                  <c:v>9.2531096997294976E-2</c:v>
                </c:pt>
                <c:pt idx="31">
                  <c:v>9.5093002137979638E-2</c:v>
                </c:pt>
                <c:pt idx="32">
                  <c:v>9.7654907278664299E-2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2.8615616060068422E-2</c:v>
                </c:pt>
                <c:pt idx="7">
                  <c:v>3.4560232120136848E-2</c:v>
                </c:pt>
                <c:pt idx="8">
                  <c:v>4.050484818020527E-2</c:v>
                </c:pt>
                <c:pt idx="9">
                  <c:v>4.122743021893157E-2</c:v>
                </c:pt>
                <c:pt idx="10">
                  <c:v>4.1950012257657869E-2</c:v>
                </c:pt>
                <c:pt idx="11">
                  <c:v>4.2672594296384168E-2</c:v>
                </c:pt>
                <c:pt idx="12">
                  <c:v>4.3395176335110468E-2</c:v>
                </c:pt>
                <c:pt idx="13">
                  <c:v>4.4117758373836767E-2</c:v>
                </c:pt>
                <c:pt idx="14">
                  <c:v>4.4840340412563066E-2</c:v>
                </c:pt>
                <c:pt idx="15">
                  <c:v>4.5562922451289366E-2</c:v>
                </c:pt>
                <c:pt idx="16">
                  <c:v>4.6285504490015665E-2</c:v>
                </c:pt>
                <c:pt idx="17">
                  <c:v>4.7008086528741964E-2</c:v>
                </c:pt>
                <c:pt idx="18">
                  <c:v>4.7730668567468292E-2</c:v>
                </c:pt>
                <c:pt idx="19">
                  <c:v>4.893100571807444E-2</c:v>
                </c:pt>
                <c:pt idx="20">
                  <c:v>5.0131342868680588E-2</c:v>
                </c:pt>
                <c:pt idx="21">
                  <c:v>5.1331680019286736E-2</c:v>
                </c:pt>
                <c:pt idx="22">
                  <c:v>5.2532017169892885E-2</c:v>
                </c:pt>
                <c:pt idx="23">
                  <c:v>5.3732354320499033E-2</c:v>
                </c:pt>
                <c:pt idx="24">
                  <c:v>5.4932691471105181E-2</c:v>
                </c:pt>
                <c:pt idx="25">
                  <c:v>5.613302862171133E-2</c:v>
                </c:pt>
                <c:pt idx="26">
                  <c:v>5.7333365772317478E-2</c:v>
                </c:pt>
                <c:pt idx="27">
                  <c:v>5.8533702922923626E-2</c:v>
                </c:pt>
                <c:pt idx="28">
                  <c:v>5.9734040073529754E-2</c:v>
                </c:pt>
                <c:pt idx="29">
                  <c:v>6.1484843125403421E-2</c:v>
                </c:pt>
                <c:pt idx="30">
                  <c:v>6.3235646177277088E-2</c:v>
                </c:pt>
                <c:pt idx="31">
                  <c:v>6.4986449229150756E-2</c:v>
                </c:pt>
                <c:pt idx="32">
                  <c:v>6.6737252281024423E-2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22.352445526032653</c:v>
                </c:pt>
                <c:pt idx="2">
                  <c:v>22.704891052065307</c:v>
                </c:pt>
                <c:pt idx="3">
                  <c:v>23.057336578097956</c:v>
                </c:pt>
                <c:pt idx="4">
                  <c:v>23.249070137552081</c:v>
                </c:pt>
                <c:pt idx="5">
                  <c:v>23.44080369700621</c:v>
                </c:pt>
                <c:pt idx="6">
                  <c:v>23.058781481202889</c:v>
                </c:pt>
                <c:pt idx="7">
                  <c:v>22.676759265399568</c:v>
                </c:pt>
                <c:pt idx="8">
                  <c:v>22.294737049596247</c:v>
                </c:pt>
                <c:pt idx="9">
                  <c:v>22.692461699210831</c:v>
                </c:pt>
                <c:pt idx="10">
                  <c:v>23.090186348825416</c:v>
                </c:pt>
                <c:pt idx="11">
                  <c:v>23.48791099844</c:v>
                </c:pt>
                <c:pt idx="12">
                  <c:v>23.885635648054585</c:v>
                </c:pt>
                <c:pt idx="13">
                  <c:v>24.283360297669169</c:v>
                </c:pt>
                <c:pt idx="14">
                  <c:v>24.681084947283754</c:v>
                </c:pt>
                <c:pt idx="15">
                  <c:v>25.078809596898338</c:v>
                </c:pt>
                <c:pt idx="16">
                  <c:v>25.476534246512923</c:v>
                </c:pt>
                <c:pt idx="17">
                  <c:v>25.874258896127508</c:v>
                </c:pt>
                <c:pt idx="18">
                  <c:v>26.271983545742096</c:v>
                </c:pt>
                <c:pt idx="19">
                  <c:v>26.932674854213751</c:v>
                </c:pt>
                <c:pt idx="20">
                  <c:v>27.593366162685406</c:v>
                </c:pt>
                <c:pt idx="21">
                  <c:v>28.254057471157061</c:v>
                </c:pt>
                <c:pt idx="22">
                  <c:v>28.914748779628717</c:v>
                </c:pt>
                <c:pt idx="23">
                  <c:v>29.575440088100372</c:v>
                </c:pt>
                <c:pt idx="24">
                  <c:v>30.236131396572027</c:v>
                </c:pt>
                <c:pt idx="25">
                  <c:v>30.896822705043682</c:v>
                </c:pt>
                <c:pt idx="26">
                  <c:v>31.557514013515338</c:v>
                </c:pt>
                <c:pt idx="27">
                  <c:v>32.218205321986993</c:v>
                </c:pt>
                <c:pt idx="28">
                  <c:v>32.878896630458662</c:v>
                </c:pt>
                <c:pt idx="29">
                  <c:v>33.842576175521856</c:v>
                </c:pt>
                <c:pt idx="30">
                  <c:v>34.806255720585057</c:v>
                </c:pt>
                <c:pt idx="31">
                  <c:v>35.769935265648257</c:v>
                </c:pt>
                <c:pt idx="32">
                  <c:v>36.733614810711458</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25.099999999999998</c:v>
                </c:pt>
                <c:pt idx="1">
                  <c:v>25.50210830470089</c:v>
                </c:pt>
                <c:pt idx="2">
                  <c:v>25.904216609401782</c:v>
                </c:pt>
                <c:pt idx="3">
                  <c:v>26.306324914102674</c:v>
                </c:pt>
                <c:pt idx="4">
                  <c:v>26.525075475116246</c:v>
                </c:pt>
                <c:pt idx="5">
                  <c:v>26.743826036129818</c:v>
                </c:pt>
                <c:pt idx="6">
                  <c:v>26.307973417190574</c:v>
                </c:pt>
                <c:pt idx="7">
                  <c:v>25.872120798251331</c:v>
                </c:pt>
                <c:pt idx="8">
                  <c:v>25.436268179312087</c:v>
                </c:pt>
                <c:pt idx="9">
                  <c:v>25.890035847736002</c:v>
                </c:pt>
                <c:pt idx="10">
                  <c:v>26.343803516159916</c:v>
                </c:pt>
                <c:pt idx="11">
                  <c:v>26.79757118458383</c:v>
                </c:pt>
                <c:pt idx="12">
                  <c:v>27.251338853007745</c:v>
                </c:pt>
                <c:pt idx="13">
                  <c:v>27.705106521431659</c:v>
                </c:pt>
                <c:pt idx="14">
                  <c:v>28.158874189855574</c:v>
                </c:pt>
                <c:pt idx="15">
                  <c:v>28.612641858279488</c:v>
                </c:pt>
                <c:pt idx="16">
                  <c:v>29.066409526703403</c:v>
                </c:pt>
                <c:pt idx="17">
                  <c:v>29.520177195127317</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37.511832064750578</c:v>
                </c:pt>
                <c:pt idx="29">
                  <c:v>38.611302818436315</c:v>
                </c:pt>
                <c:pt idx="30">
                  <c:v>39.710773572122051</c:v>
                </c:pt>
                <c:pt idx="31">
                  <c:v>40.810244325807787</c:v>
                </c:pt>
                <c:pt idx="32">
                  <c:v>41.909715079493523</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26.517696951596729</c:v>
                </c:pt>
                <c:pt idx="1">
                  <c:v>26.235573092134736</c:v>
                </c:pt>
                <c:pt idx="2">
                  <c:v>26.125950018985858</c:v>
                </c:pt>
                <c:pt idx="3">
                  <c:v>27.09455867738976</c:v>
                </c:pt>
                <c:pt idx="4">
                  <c:v>26.514710316786477</c:v>
                </c:pt>
                <c:pt idx="5">
                  <c:v>23.049501217228059</c:v>
                </c:pt>
                <c:pt idx="6">
                  <c:v>19.509795942573113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15.910618170958038</c:v>
                </c:pt>
                <c:pt idx="1">
                  <c:v>16.521147416430232</c:v>
                </c:pt>
                <c:pt idx="2">
                  <c:v>17.004099840860121</c:v>
                </c:pt>
                <c:pt idx="3">
                  <c:v>18.506614723638457</c:v>
                </c:pt>
                <c:pt idx="4">
                  <c:v>20.394394183928146</c:v>
                </c:pt>
                <c:pt idx="5">
                  <c:v>23.710576994261572</c:v>
                </c:pt>
                <c:pt idx="6">
                  <c:v>27.206014458263109</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10.603684877445227</c:v>
                </c:pt>
                <c:pt idx="1">
                  <c:v>11.733279491435036</c:v>
                </c:pt>
                <c:pt idx="2">
                  <c:v>12.42895014015402</c:v>
                </c:pt>
                <c:pt idx="3">
                  <c:v>11.561826598971781</c:v>
                </c:pt>
                <c:pt idx="4">
                  <c:v>15.896895499285378</c:v>
                </c:pt>
                <c:pt idx="5">
                  <c:v>21.827921788510363</c:v>
                </c:pt>
                <c:pt idx="6">
                  <c:v>28.480189599163776</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0.13258848475798365</c:v>
                </c:pt>
                <c:pt idx="1">
                  <c:v>0.13547279338694881</c:v>
                </c:pt>
                <c:pt idx="2">
                  <c:v>0.13257355158393239</c:v>
                </c:pt>
                <c:pt idx="3">
                  <c:v>0.1152475060861403</c:v>
                </c:pt>
                <c:pt idx="4">
                  <c:v>9.7548979712865566E-2</c:v>
                </c:pt>
                <c:pt idx="6">
                  <c:v>0.13258848475798365</c:v>
                </c:pt>
                <c:pt idx="7">
                  <c:v>0.38609746115280402</c:v>
                </c:pt>
                <c:pt idx="8">
                  <c:v>0.29911907576124741</c:v>
                </c:pt>
                <c:pt idx="9">
                  <c:v>0.19762066106120907</c:v>
                </c:pt>
                <c:pt idx="10">
                  <c:v>0.1589085073145044</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2.6403937600768872</c:v>
                </c:pt>
                <c:pt idx="1">
                  <c:v>3.0712037402566676</c:v>
                </c:pt>
                <c:pt idx="2">
                  <c:v>3.3844839066079966</c:v>
                </c:pt>
                <c:pt idx="3">
                  <c:v>3.9348100036581517</c:v>
                </c:pt>
                <c:pt idx="4">
                  <c:v>4.514883711010083</c:v>
                </c:pt>
                <c:pt idx="6">
                  <c:v>2.6403937600768872</c:v>
                </c:pt>
                <c:pt idx="7">
                  <c:v>2.7717613755816424</c:v>
                </c:pt>
                <c:pt idx="8">
                  <c:v>2.7566832949566287</c:v>
                </c:pt>
                <c:pt idx="9">
                  <c:v>2.8924469248392328</c:v>
                </c:pt>
                <c:pt idx="10">
                  <c:v>2.9952660987782713</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3.4310671350742488</c:v>
                </c:pt>
                <c:pt idx="1">
                  <c:v>3.6964071571597099</c:v>
                </c:pt>
                <c:pt idx="2">
                  <c:v>5.2827427756688037</c:v>
                </c:pt>
                <c:pt idx="3">
                  <c:v>7.6807834746288526</c:v>
                </c:pt>
                <c:pt idx="4">
                  <c:v>10.699345710209208</c:v>
                </c:pt>
                <c:pt idx="6">
                  <c:v>3.4310671350742488</c:v>
                </c:pt>
                <c:pt idx="7">
                  <c:v>3.5563794015753372</c:v>
                </c:pt>
                <c:pt idx="8">
                  <c:v>4.6483967111317188</c:v>
                </c:pt>
                <c:pt idx="9">
                  <c:v>6.0675377396277277</c:v>
                </c:pt>
                <c:pt idx="10">
                  <c:v>7.5257918937880461</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118.25019958639903</c:v>
                </c:pt>
                <c:pt idx="1">
                  <c:v>130.30069967490863</c:v>
                </c:pt>
                <c:pt idx="2">
                  <c:v>166.73194643046889</c:v>
                </c:pt>
                <c:pt idx="3">
                  <c:v>222.72937466073043</c:v>
                </c:pt>
                <c:pt idx="4">
                  <c:v>291.11606336646514</c:v>
                </c:pt>
                <c:pt idx="6">
                  <c:v>118.25019958639903</c:v>
                </c:pt>
                <c:pt idx="7">
                  <c:v>121.79882071559742</c:v>
                </c:pt>
                <c:pt idx="8">
                  <c:v>139.81011779486025</c:v>
                </c:pt>
                <c:pt idx="9">
                  <c:v>165.57622251341832</c:v>
                </c:pt>
                <c:pt idx="10">
                  <c:v>189.14624095469617</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13.43934653227916</c:v>
                </c:pt>
                <c:pt idx="1">
                  <c:v>14.808907405268744</c:v>
                </c:pt>
                <c:pt idx="2">
                  <c:v>18.949383712822137</c:v>
                </c:pt>
                <c:pt idx="3">
                  <c:v>25.313591515727833</c:v>
                </c:pt>
                <c:pt idx="4">
                  <c:v>33.085860915069972</c:v>
                </c:pt>
                <c:pt idx="6">
                  <c:v>13.43934653227916</c:v>
                </c:pt>
                <c:pt idx="7">
                  <c:v>13.919865224639706</c:v>
                </c:pt>
                <c:pt idx="8">
                  <c:v>14.217978080833243</c:v>
                </c:pt>
                <c:pt idx="9">
                  <c:v>14.80010927494242</c:v>
                </c:pt>
                <c:pt idx="10">
                  <c:v>16.906926565782896</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3.3766550286840564</c:v>
                </c:pt>
                <c:pt idx="1">
                  <c:v>3.7207591559019839</c:v>
                </c:pt>
                <c:pt idx="2">
                  <c:v>4.7610597472638725</c:v>
                </c:pt>
                <c:pt idx="3">
                  <c:v>6.3600760558066227</c:v>
                </c:pt>
                <c:pt idx="4">
                  <c:v>8.3128698533726944</c:v>
                </c:pt>
                <c:pt idx="6">
                  <c:v>3.3766550286840564</c:v>
                </c:pt>
                <c:pt idx="7">
                  <c:v>3.4799663061599264</c:v>
                </c:pt>
                <c:pt idx="8">
                  <c:v>3.9494383557870125</c:v>
                </c:pt>
                <c:pt idx="9">
                  <c:v>4.6250341484195063</c:v>
                </c:pt>
                <c:pt idx="10">
                  <c:v>5.2834145518071551</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16.712709589855177</c:v>
                </c:pt>
                <c:pt idx="1">
                  <c:v>17.449804280147024</c:v>
                </c:pt>
                <c:pt idx="2">
                  <c:v>22.315760207181242</c:v>
                </c:pt>
                <c:pt idx="3">
                  <c:v>18.405017185739329</c:v>
                </c:pt>
                <c:pt idx="4">
                  <c:v>12.794850457720294</c:v>
                </c:pt>
                <c:pt idx="6">
                  <c:v>16.712709589855177</c:v>
                </c:pt>
                <c:pt idx="7">
                  <c:v>17.793240493469693</c:v>
                </c:pt>
                <c:pt idx="8">
                  <c:v>23.110493859296557</c:v>
                </c:pt>
                <c:pt idx="9">
                  <c:v>18.356912918388264</c:v>
                </c:pt>
                <c:pt idx="10">
                  <c:v>8.9361238865942063</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98.406323636628741</c:v>
                </c:pt>
                <c:pt idx="1">
                  <c:v>102.74642051043128</c:v>
                </c:pt>
                <c:pt idx="2">
                  <c:v>103.3696876325923</c:v>
                </c:pt>
                <c:pt idx="3">
                  <c:v>97.374512656911861</c:v>
                </c:pt>
                <c:pt idx="4">
                  <c:v>90.111195887288758</c:v>
                </c:pt>
                <c:pt idx="6">
                  <c:v>98.406323636628741</c:v>
                </c:pt>
                <c:pt idx="7">
                  <c:v>104.76861176404367</c:v>
                </c:pt>
                <c:pt idx="8">
                  <c:v>107.05100382382082</c:v>
                </c:pt>
                <c:pt idx="9">
                  <c:v>97.1200097926789</c:v>
                </c:pt>
                <c:pt idx="10">
                  <c:v>77.624943147440462</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0.52634845853123191</c:v>
                </c:pt>
                <c:pt idx="1">
                  <c:v>5.475215047499999</c:v>
                </c:pt>
                <c:pt idx="2">
                  <c:v>13.516644844339694</c:v>
                </c:pt>
                <c:pt idx="3">
                  <c:v>25.939755973998579</c:v>
                </c:pt>
                <c:pt idx="4">
                  <c:v>38.720077328824445</c:v>
                </c:pt>
                <c:pt idx="6">
                  <c:v>0.52634845853123191</c:v>
                </c:pt>
                <c:pt idx="7">
                  <c:v>5.475215047499999</c:v>
                </c:pt>
                <c:pt idx="8">
                  <c:v>18.786007583246356</c:v>
                </c:pt>
                <c:pt idx="9">
                  <c:v>51.503343074409401</c:v>
                </c:pt>
                <c:pt idx="10">
                  <c:v>106.06926691834104</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17.091550023796078</c:v>
                </c:pt>
                <c:pt idx="1">
                  <c:v>17.845353032438364</c:v>
                </c:pt>
                <c:pt idx="2">
                  <c:v>13.193500049478992</c:v>
                </c:pt>
                <c:pt idx="3">
                  <c:v>15.044797663169364</c:v>
                </c:pt>
                <c:pt idx="4">
                  <c:v>18.159890531472183</c:v>
                </c:pt>
                <c:pt idx="6">
                  <c:v>17.091550023796078</c:v>
                </c:pt>
                <c:pt idx="7">
                  <c:v>18.196574190708869</c:v>
                </c:pt>
                <c:pt idx="8">
                  <c:v>13.663361635244366</c:v>
                </c:pt>
                <c:pt idx="9">
                  <c:v>15.005475832511552</c:v>
                </c:pt>
                <c:pt idx="10">
                  <c:v>17.729375175645657</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0.54174365358593757</c:v>
                </c:pt>
                <c:pt idx="1">
                  <c:v>0.60548819537425813</c:v>
                </c:pt>
                <c:pt idx="2">
                  <c:v>0.76800493917638013</c:v>
                </c:pt>
                <c:pt idx="3">
                  <c:v>0.99971875169637903</c:v>
                </c:pt>
                <c:pt idx="4">
                  <c:v>1.2567492640737796</c:v>
                </c:pt>
                <c:pt idx="6">
                  <c:v>0.54174365358593757</c:v>
                </c:pt>
                <c:pt idx="7">
                  <c:v>0.60548819537425813</c:v>
                </c:pt>
                <c:pt idx="8">
                  <c:v>2.3173803027215989</c:v>
                </c:pt>
                <c:pt idx="9">
                  <c:v>7.2095436253531329</c:v>
                </c:pt>
                <c:pt idx="10">
                  <c:v>14.304732693970184</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84.464428275999339</c:v>
                </c:pt>
                <c:pt idx="1">
                  <c:v>93.071928339220463</c:v>
                </c:pt>
                <c:pt idx="2">
                  <c:v>119.09424745033492</c:v>
                </c:pt>
                <c:pt idx="3">
                  <c:v>159.09241047195033</c:v>
                </c:pt>
                <c:pt idx="4">
                  <c:v>207.94004526176084</c:v>
                </c:pt>
                <c:pt idx="6">
                  <c:v>84.464428275999339</c:v>
                </c:pt>
                <c:pt idx="7">
                  <c:v>84.877226979510397</c:v>
                </c:pt>
                <c:pt idx="8">
                  <c:v>95.05234489325079</c:v>
                </c:pt>
                <c:pt idx="9">
                  <c:v>109.82427334876965</c:v>
                </c:pt>
                <c:pt idx="10">
                  <c:v>122.39797068168343</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9.5995332373422624</c:v>
                </c:pt>
                <c:pt idx="1">
                  <c:v>10.577791003763391</c:v>
                </c:pt>
                <c:pt idx="2">
                  <c:v>13.535274080587239</c:v>
                </c:pt>
                <c:pt idx="3">
                  <c:v>18.081136796948456</c:v>
                </c:pt>
                <c:pt idx="4">
                  <c:v>23.632757796478558</c:v>
                </c:pt>
                <c:pt idx="6">
                  <c:v>9.5995332373422624</c:v>
                </c:pt>
                <c:pt idx="7">
                  <c:v>9.7002545119440455</c:v>
                </c:pt>
                <c:pt idx="8">
                  <c:v>9.6663401586356734</c:v>
                </c:pt>
                <c:pt idx="9">
                  <c:v>9.8166948244710301</c:v>
                </c:pt>
                <c:pt idx="10">
                  <c:v>10.940600731323659</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2.4118964490600412</c:v>
                </c:pt>
                <c:pt idx="1">
                  <c:v>2.6576851113585604</c:v>
                </c:pt>
                <c:pt idx="2">
                  <c:v>3.4007569623313376</c:v>
                </c:pt>
                <c:pt idx="3">
                  <c:v>4.5429114684333021</c:v>
                </c:pt>
                <c:pt idx="4">
                  <c:v>5.9377641809804977</c:v>
                </c:pt>
                <c:pt idx="6">
                  <c:v>2.4118964490600412</c:v>
                </c:pt>
                <c:pt idx="7">
                  <c:v>2.4250636279860114</c:v>
                </c:pt>
                <c:pt idx="8">
                  <c:v>2.6850944885099093</c:v>
                </c:pt>
                <c:pt idx="9">
                  <c:v>3.0677171326471968</c:v>
                </c:pt>
                <c:pt idx="10">
                  <c:v>3.4189377285386437</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0.66850838359420706</c:v>
                </c:pt>
                <c:pt idx="1">
                  <c:v>0.69799217120588097</c:v>
                </c:pt>
                <c:pt idx="2">
                  <c:v>0.89263040828724971</c:v>
                </c:pt>
                <c:pt idx="3">
                  <c:v>0.73620068742957312</c:v>
                </c:pt>
                <c:pt idx="4">
                  <c:v>0.51179401830881177</c:v>
                </c:pt>
                <c:pt idx="6">
                  <c:v>0.66850838359420706</c:v>
                </c:pt>
                <c:pt idx="7">
                  <c:v>0.67783773308455975</c:v>
                </c:pt>
                <c:pt idx="8">
                  <c:v>0.83847596768422883</c:v>
                </c:pt>
                <c:pt idx="9">
                  <c:v>0.63429566287487793</c:v>
                </c:pt>
                <c:pt idx="10">
                  <c:v>0.30877439193501199</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7.0290231169020529</c:v>
                </c:pt>
                <c:pt idx="1">
                  <c:v>7.339030036459377</c:v>
                </c:pt>
                <c:pt idx="2">
                  <c:v>7.3835491166137359</c:v>
                </c:pt>
                <c:pt idx="3">
                  <c:v>6.9553223326365616</c:v>
                </c:pt>
                <c:pt idx="4">
                  <c:v>6.4365139919491972</c:v>
                </c:pt>
                <c:pt idx="6">
                  <c:v>7.0290231169020529</c:v>
                </c:pt>
                <c:pt idx="7">
                  <c:v>7.1271164465335826</c:v>
                </c:pt>
                <c:pt idx="8">
                  <c:v>6.9356011547664922</c:v>
                </c:pt>
                <c:pt idx="9">
                  <c:v>5.9925654306186544</c:v>
                </c:pt>
                <c:pt idx="10">
                  <c:v>4.7896674624733802</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2.1053938341249277E-2</c:v>
                </c:pt>
                <c:pt idx="1">
                  <c:v>0.21900860189999996</c:v>
                </c:pt>
                <c:pt idx="2">
                  <c:v>0.54066579377358781</c:v>
                </c:pt>
                <c:pt idx="3">
                  <c:v>1.0375902389599432</c:v>
                </c:pt>
                <c:pt idx="4">
                  <c:v>1.5488030931529777</c:v>
                </c:pt>
                <c:pt idx="6">
                  <c:v>2.1053938341249277E-2</c:v>
                </c:pt>
                <c:pt idx="7">
                  <c:v>0.20857962085714282</c:v>
                </c:pt>
                <c:pt idx="8">
                  <c:v>0.68157850642163653</c:v>
                </c:pt>
                <c:pt idx="9">
                  <c:v>1.7796209679096218</c:v>
                </c:pt>
                <c:pt idx="10">
                  <c:v>3.6650648325093544</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118.25019958639903</c:v>
                </c:pt>
                <c:pt idx="1">
                  <c:v>130.30069967490863</c:v>
                </c:pt>
                <c:pt idx="2">
                  <c:v>166.73194643046889</c:v>
                </c:pt>
                <c:pt idx="3">
                  <c:v>222.72937466073043</c:v>
                </c:pt>
                <c:pt idx="4">
                  <c:v>291.11606336646514</c:v>
                </c:pt>
                <c:pt idx="6">
                  <c:v>118.25019958639903</c:v>
                </c:pt>
                <c:pt idx="7">
                  <c:v>121.79882071559742</c:v>
                </c:pt>
                <c:pt idx="8">
                  <c:v>139.81011779486025</c:v>
                </c:pt>
                <c:pt idx="9">
                  <c:v>165.57622251341832</c:v>
                </c:pt>
                <c:pt idx="10">
                  <c:v>189.14624095469617</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13.43934653227916</c:v>
                </c:pt>
                <c:pt idx="1">
                  <c:v>14.808907405268744</c:v>
                </c:pt>
                <c:pt idx="2">
                  <c:v>18.949383712822137</c:v>
                </c:pt>
                <c:pt idx="3">
                  <c:v>25.313591515727833</c:v>
                </c:pt>
                <c:pt idx="4">
                  <c:v>33.085860915069972</c:v>
                </c:pt>
                <c:pt idx="6">
                  <c:v>13.43934653227916</c:v>
                </c:pt>
                <c:pt idx="7">
                  <c:v>13.919865224639706</c:v>
                </c:pt>
                <c:pt idx="8">
                  <c:v>14.217978080833243</c:v>
                </c:pt>
                <c:pt idx="9">
                  <c:v>14.80010927494242</c:v>
                </c:pt>
                <c:pt idx="10">
                  <c:v>16.906926565782896</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3.3766550286840564</c:v>
                </c:pt>
                <c:pt idx="1">
                  <c:v>3.7207591559019839</c:v>
                </c:pt>
                <c:pt idx="2">
                  <c:v>4.7610597472638725</c:v>
                </c:pt>
                <c:pt idx="3">
                  <c:v>6.3600760558066227</c:v>
                </c:pt>
                <c:pt idx="4">
                  <c:v>8.3128698533726944</c:v>
                </c:pt>
                <c:pt idx="6">
                  <c:v>3.3766550286840564</c:v>
                </c:pt>
                <c:pt idx="7">
                  <c:v>3.4799663061599264</c:v>
                </c:pt>
                <c:pt idx="8">
                  <c:v>3.9494383557870125</c:v>
                </c:pt>
                <c:pt idx="9">
                  <c:v>4.6250341484195063</c:v>
                </c:pt>
                <c:pt idx="10">
                  <c:v>5.2834145518071551</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16.712709589855177</c:v>
                </c:pt>
                <c:pt idx="1">
                  <c:v>17.449804280147024</c:v>
                </c:pt>
                <c:pt idx="2">
                  <c:v>22.315760207181242</c:v>
                </c:pt>
                <c:pt idx="3">
                  <c:v>18.405017185739329</c:v>
                </c:pt>
                <c:pt idx="4">
                  <c:v>12.794850457720294</c:v>
                </c:pt>
                <c:pt idx="6">
                  <c:v>16.712709589855177</c:v>
                </c:pt>
                <c:pt idx="7">
                  <c:v>17.793240493469693</c:v>
                </c:pt>
                <c:pt idx="8">
                  <c:v>23.110493859296557</c:v>
                </c:pt>
                <c:pt idx="9">
                  <c:v>18.356912918388264</c:v>
                </c:pt>
                <c:pt idx="10">
                  <c:v>8.9361238865942063</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98.406323636628741</c:v>
                </c:pt>
                <c:pt idx="1">
                  <c:v>102.74642051043128</c:v>
                </c:pt>
                <c:pt idx="2">
                  <c:v>103.3696876325923</c:v>
                </c:pt>
                <c:pt idx="3">
                  <c:v>97.374512656911861</c:v>
                </c:pt>
                <c:pt idx="4">
                  <c:v>90.111195887288758</c:v>
                </c:pt>
                <c:pt idx="6">
                  <c:v>98.406323636628741</c:v>
                </c:pt>
                <c:pt idx="7">
                  <c:v>104.76861176404367</c:v>
                </c:pt>
                <c:pt idx="8">
                  <c:v>107.05100382382082</c:v>
                </c:pt>
                <c:pt idx="9">
                  <c:v>97.1200097926789</c:v>
                </c:pt>
                <c:pt idx="10">
                  <c:v>77.624943147440462</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0.52634845853123191</c:v>
                </c:pt>
                <c:pt idx="1">
                  <c:v>5.475215047499999</c:v>
                </c:pt>
                <c:pt idx="2">
                  <c:v>13.516644844339694</c:v>
                </c:pt>
                <c:pt idx="3">
                  <c:v>25.939755973998579</c:v>
                </c:pt>
                <c:pt idx="4">
                  <c:v>38.720077328824445</c:v>
                </c:pt>
                <c:pt idx="6">
                  <c:v>0.52634845853123191</c:v>
                </c:pt>
                <c:pt idx="7">
                  <c:v>5.475215047499999</c:v>
                </c:pt>
                <c:pt idx="8">
                  <c:v>18.786007583246356</c:v>
                </c:pt>
                <c:pt idx="9">
                  <c:v>51.503343074409401</c:v>
                </c:pt>
                <c:pt idx="10">
                  <c:v>106.06926691834104</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17.091550023796078</c:v>
                </c:pt>
                <c:pt idx="1">
                  <c:v>17.845353032438364</c:v>
                </c:pt>
                <c:pt idx="2">
                  <c:v>13.193500049478992</c:v>
                </c:pt>
                <c:pt idx="3">
                  <c:v>15.044797663169364</c:v>
                </c:pt>
                <c:pt idx="4">
                  <c:v>18.159890531472183</c:v>
                </c:pt>
                <c:pt idx="6">
                  <c:v>17.091550023796078</c:v>
                </c:pt>
                <c:pt idx="7">
                  <c:v>18.196574190708869</c:v>
                </c:pt>
                <c:pt idx="8">
                  <c:v>13.663361635244366</c:v>
                </c:pt>
                <c:pt idx="9">
                  <c:v>15.005475832511552</c:v>
                </c:pt>
                <c:pt idx="10">
                  <c:v>17.729375175645657</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0.54174365358593757</c:v>
                </c:pt>
                <c:pt idx="1">
                  <c:v>0.60548819537425813</c:v>
                </c:pt>
                <c:pt idx="2">
                  <c:v>0.76800493917638013</c:v>
                </c:pt>
                <c:pt idx="3">
                  <c:v>0.99971875169637903</c:v>
                </c:pt>
                <c:pt idx="4">
                  <c:v>1.2567492640737796</c:v>
                </c:pt>
                <c:pt idx="6">
                  <c:v>0.54174365358593757</c:v>
                </c:pt>
                <c:pt idx="7">
                  <c:v>0.60548819537425813</c:v>
                </c:pt>
                <c:pt idx="8">
                  <c:v>2.3173803027215989</c:v>
                </c:pt>
                <c:pt idx="9">
                  <c:v>7.2095436253531329</c:v>
                </c:pt>
                <c:pt idx="10">
                  <c:v>14.304732693970184</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0.06</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0.50349999999999995</c:v>
                </c:pt>
                <c:pt idx="8">
                  <c:v>0.47832499999999994</c:v>
                </c:pt>
                <c:pt idx="9">
                  <c:v>0.45440874999999992</c:v>
                </c:pt>
                <c:pt idx="10">
                  <c:v>0.43168831249999989</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0.78378378378378377</c:v>
                </c:pt>
                <c:pt idx="1">
                  <c:v>0.78378378378378377</c:v>
                </c:pt>
                <c:pt idx="2">
                  <c:v>0.78378378378378377</c:v>
                </c:pt>
                <c:pt idx="3">
                  <c:v>0.78378378378378377</c:v>
                </c:pt>
                <c:pt idx="4">
                  <c:v>0.78378378378378377</c:v>
                </c:pt>
                <c:pt idx="6">
                  <c:v>0.78378378378378377</c:v>
                </c:pt>
                <c:pt idx="7">
                  <c:v>0.76418918918918921</c:v>
                </c:pt>
                <c:pt idx="8">
                  <c:v>0.74508445945945945</c:v>
                </c:pt>
                <c:pt idx="9">
                  <c:v>0.7264573479729729</c:v>
                </c:pt>
                <c:pt idx="10">
                  <c:v>0.70829591427364857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0.23749999999999999</c:v>
                </c:pt>
                <c:pt idx="8">
                  <c:v>0.22562499999999999</c:v>
                </c:pt>
                <c:pt idx="9">
                  <c:v>0.21434374999999997</c:v>
                </c:pt>
                <c:pt idx="10">
                  <c:v>0.20362656249999997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0.29746055226824453</c:v>
                </c:pt>
                <c:pt idx="8">
                  <c:v>0.28258752465483228</c:v>
                </c:pt>
                <c:pt idx="9">
                  <c:v>0.26845814842209065</c:v>
                </c:pt>
                <c:pt idx="10">
                  <c:v>0.25503524100098612</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0.40790316676191524</c:v>
                </c:pt>
                <c:pt idx="2">
                  <c:v>0.42398537046937429</c:v>
                </c:pt>
                <c:pt idx="3">
                  <c:v>0.44894884589399531</c:v>
                </c:pt>
                <c:pt idx="4">
                  <c:v>0.47931174428718215</c:v>
                </c:pt>
                <c:pt idx="6">
                  <c:v>0.41283463855351005</c:v>
                </c:pt>
                <c:pt idx="7" formatCode="0%">
                  <c:v>0.4025137725896723</c:v>
                </c:pt>
                <c:pt idx="8" formatCode="0%">
                  <c:v>0.3924509282749305</c:v>
                </c:pt>
                <c:pt idx="9" formatCode="0%">
                  <c:v>0.38263965506805725</c:v>
                </c:pt>
                <c:pt idx="10" formatCode="0%">
                  <c:v>0.37307366369135581</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7.6260413845633037</c:v>
                </c:pt>
                <c:pt idx="8">
                  <c:v>7.2447393153351385</c:v>
                </c:pt>
                <c:pt idx="9">
                  <c:v>6.882502349568381</c:v>
                </c:pt>
                <c:pt idx="10">
                  <c:v>6.538377232089962</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13.418073439870216</c:v>
                </c:pt>
                <c:pt idx="1">
                  <c:v>13.418073439870216</c:v>
                </c:pt>
                <c:pt idx="2">
                  <c:v>13.418073439870216</c:v>
                </c:pt>
                <c:pt idx="3">
                  <c:v>13.418073439870216</c:v>
                </c:pt>
                <c:pt idx="4">
                  <c:v>13.418073439870216</c:v>
                </c:pt>
                <c:pt idx="6">
                  <c:v>13.418073439870216</c:v>
                </c:pt>
                <c:pt idx="7">
                  <c:v>12.747169767876706</c:v>
                </c:pt>
                <c:pt idx="8">
                  <c:v>12.109811279482869</c:v>
                </c:pt>
                <c:pt idx="9">
                  <c:v>11.504320715508726</c:v>
                </c:pt>
                <c:pt idx="10">
                  <c:v>10.929104679733289</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15.663966300310799</c:v>
                </c:pt>
                <c:pt idx="1">
                  <c:v>15.663966300310799</c:v>
                </c:pt>
                <c:pt idx="2">
                  <c:v>15.663966300310799</c:v>
                </c:pt>
                <c:pt idx="3">
                  <c:v>15.663966300310799</c:v>
                </c:pt>
                <c:pt idx="4">
                  <c:v>15.663966300310799</c:v>
                </c:pt>
                <c:pt idx="6">
                  <c:v>15.663966300310799</c:v>
                </c:pt>
                <c:pt idx="7">
                  <c:v>14.880767985295257</c:v>
                </c:pt>
                <c:pt idx="8">
                  <c:v>14.136729586030494</c:v>
                </c:pt>
                <c:pt idx="9">
                  <c:v>13.429893106728969</c:v>
                </c:pt>
                <c:pt idx="10">
                  <c:v>12.758398451392519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[8]RES!$C$22</c:f>
              <c:strCache>
                <c:ptCount val="1"/>
                <c:pt idx="0">
                  <c:v>Low Income</c:v>
                </c:pt>
              </c:strCache>
            </c:strRef>
          </c:tx>
          <c:cat>
            <c:numRef>
              <c:f>[8]RES!$E$21:$I$21</c:f>
              <c:numCache>
                <c:formatCode>General</c:formatCode>
                <c:ptCount val="5"/>
                <c:pt idx="0">
                  <c:v>2012</c:v>
                </c:pt>
                <c:pt idx="1">
                  <c:v>2020</c:v>
                </c:pt>
                <c:pt idx="2">
                  <c:v>2030</c:v>
                </c:pt>
                <c:pt idx="3">
                  <c:v>2040</c:v>
                </c:pt>
                <c:pt idx="4">
                  <c:v>2050</c:v>
                </c:pt>
              </c:numCache>
            </c:numRef>
          </c:cat>
          <c:val>
            <c:numRef>
              <c:f>[8]RES!$E$22:$I$22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[8]RES!$C$23</c:f>
              <c:strCache>
                <c:ptCount val="1"/>
                <c:pt idx="0">
                  <c:v>Middle Income</c:v>
                </c:pt>
              </c:strCache>
            </c:strRef>
          </c:tx>
          <c:cat>
            <c:numRef>
              <c:f>[8]RES!$E$21:$I$21</c:f>
              <c:numCache>
                <c:formatCode>General</c:formatCode>
                <c:ptCount val="5"/>
                <c:pt idx="0">
                  <c:v>2012</c:v>
                </c:pt>
                <c:pt idx="1">
                  <c:v>2020</c:v>
                </c:pt>
                <c:pt idx="2">
                  <c:v>2030</c:v>
                </c:pt>
                <c:pt idx="3">
                  <c:v>2040</c:v>
                </c:pt>
                <c:pt idx="4">
                  <c:v>2050</c:v>
                </c:pt>
              </c:numCache>
            </c:numRef>
          </c:cat>
          <c:val>
            <c:numRef>
              <c:f>[8]RES!$E$23:$I$23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[8]RES!$C$24</c:f>
              <c:strCache>
                <c:ptCount val="1"/>
                <c:pt idx="0">
                  <c:v>High Income</c:v>
                </c:pt>
              </c:strCache>
            </c:strRef>
          </c:tx>
          <c:cat>
            <c:numRef>
              <c:f>[8]RES!$E$21:$I$21</c:f>
              <c:numCache>
                <c:formatCode>General</c:formatCode>
                <c:ptCount val="5"/>
                <c:pt idx="0">
                  <c:v>2012</c:v>
                </c:pt>
                <c:pt idx="1">
                  <c:v>2020</c:v>
                </c:pt>
                <c:pt idx="2">
                  <c:v>2030</c:v>
                </c:pt>
                <c:pt idx="3">
                  <c:v>2040</c:v>
                </c:pt>
                <c:pt idx="4">
                  <c:v>2050</c:v>
                </c:pt>
              </c:numCache>
            </c:numRef>
          </c:cat>
          <c:val>
            <c:numRef>
              <c:f>[8]RES!$E$24:$I$24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0.97610921501706494</c:v>
                </c:pt>
                <c:pt idx="2">
                  <c:v>0.95221843003412987</c:v>
                </c:pt>
                <c:pt idx="3">
                  <c:v>1.1023890784982937</c:v>
                </c:pt>
                <c:pt idx="4">
                  <c:v>1.3620156089042583</c:v>
                </c:pt>
                <c:pt idx="5">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0.13258848475798365</c:v>
                </c:pt>
                <c:pt idx="1">
                  <c:v>0.13547279338694881</c:v>
                </c:pt>
                <c:pt idx="2">
                  <c:v>0.13257355158393239</c:v>
                </c:pt>
                <c:pt idx="3">
                  <c:v>0.1152475060861403</c:v>
                </c:pt>
                <c:pt idx="4">
                  <c:v>9.7548979712865566E-2</c:v>
                </c:pt>
                <c:pt idx="6">
                  <c:v>0.13258848475798365</c:v>
                </c:pt>
                <c:pt idx="7">
                  <c:v>0.38609746115280402</c:v>
                </c:pt>
                <c:pt idx="8">
                  <c:v>0.29911907576124741</c:v>
                </c:pt>
                <c:pt idx="9">
                  <c:v>0.19762066106120907</c:v>
                </c:pt>
                <c:pt idx="10">
                  <c:v>0.1589085073145044</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2.6403937600768872</c:v>
                </c:pt>
                <c:pt idx="1">
                  <c:v>3.0712037402566676</c:v>
                </c:pt>
                <c:pt idx="2">
                  <c:v>3.3844839066079966</c:v>
                </c:pt>
                <c:pt idx="3">
                  <c:v>3.9348100036581517</c:v>
                </c:pt>
                <c:pt idx="4">
                  <c:v>4.514883711010083</c:v>
                </c:pt>
                <c:pt idx="6">
                  <c:v>2.6403937600768872</c:v>
                </c:pt>
                <c:pt idx="7">
                  <c:v>2.7717613755816424</c:v>
                </c:pt>
                <c:pt idx="8">
                  <c:v>2.7566832949566287</c:v>
                </c:pt>
                <c:pt idx="9">
                  <c:v>2.8924469248392328</c:v>
                </c:pt>
                <c:pt idx="10">
                  <c:v>2.9952660987782713</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3.4310671350742488</c:v>
                </c:pt>
                <c:pt idx="1">
                  <c:v>3.6964071571597099</c:v>
                </c:pt>
                <c:pt idx="2">
                  <c:v>5.2827427756688037</c:v>
                </c:pt>
                <c:pt idx="3">
                  <c:v>7.6807834746288526</c:v>
                </c:pt>
                <c:pt idx="4">
                  <c:v>10.699345710209208</c:v>
                </c:pt>
                <c:pt idx="6">
                  <c:v>3.4310671350742488</c:v>
                </c:pt>
                <c:pt idx="7">
                  <c:v>3.5563794015753372</c:v>
                </c:pt>
                <c:pt idx="8">
                  <c:v>4.6483967111317188</c:v>
                </c:pt>
                <c:pt idx="9">
                  <c:v>6.0675377396277277</c:v>
                </c:pt>
                <c:pt idx="10">
                  <c:v>7.5257918937880461</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6.6661529510316635</c:v>
                </c:pt>
                <c:pt idx="1">
                  <c:v>7.3556669538915056</c:v>
                </c:pt>
                <c:pt idx="2">
                  <c:v>9.303807459811015</c:v>
                </c:pt>
                <c:pt idx="3">
                  <c:v>12.299894052394427</c:v>
                </c:pt>
                <c:pt idx="4">
                  <c:v>15.945279848604091</c:v>
                </c:pt>
                <c:pt idx="6">
                  <c:v>6.6661529510316635</c:v>
                </c:pt>
                <c:pt idx="7">
                  <c:v>7.1668215013979628</c:v>
                </c:pt>
                <c:pt idx="8">
                  <c:v>8.2082063077998768</c:v>
                </c:pt>
                <c:pt idx="9">
                  <c:v>9.7266583935494513</c:v>
                </c:pt>
                <c:pt idx="10">
                  <c:v>11.313467947552757</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122.33718023548657</c:v>
                </c:pt>
                <c:pt idx="1">
                  <c:v>128.67881241172623</c:v>
                </c:pt>
                <c:pt idx="2">
                  <c:v>148.13564722814723</c:v>
                </c:pt>
                <c:pt idx="3">
                  <c:v>179.33011681918745</c:v>
                </c:pt>
                <c:pt idx="4">
                  <c:v>212.0495750918146</c:v>
                </c:pt>
                <c:pt idx="6">
                  <c:v>125.70057608673376</c:v>
                </c:pt>
                <c:pt idx="7">
                  <c:v>125.37518152297751</c:v>
                </c:pt>
                <c:pt idx="8">
                  <c:v>130.69143565582709</c:v>
                </c:pt>
                <c:pt idx="9">
                  <c:v>141.81283013864601</c:v>
                </c:pt>
                <c:pt idx="10">
                  <c:v>150.45305531614392</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0.23510178465639808</c:v>
                </c:pt>
                <c:pt idx="8">
                  <c:v>0.21748384466870921</c:v>
                </c:pt>
                <c:pt idx="9">
                  <c:v>0.20118614905884774</c:v>
                </c:pt>
                <c:pt idx="10">
                  <c:v>0.18610976201375035</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0.7448982153436019</c:v>
                </c:pt>
                <c:pt idx="8">
                  <c:v>0.71251615533129076</c:v>
                </c:pt>
                <c:pt idx="9">
                  <c:v>0.64881385094115229</c:v>
                </c:pt>
                <c:pt idx="10">
                  <c:v>0.5638902379862496</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0.53206565737051803</c:v>
                </c:pt>
                <c:pt idx="1">
                  <c:v>0.53206565737051803</c:v>
                </c:pt>
                <c:pt idx="2">
                  <c:v>0.53206565737051803</c:v>
                </c:pt>
                <c:pt idx="3">
                  <c:v>0.53206565737051803</c:v>
                </c:pt>
                <c:pt idx="4">
                  <c:v>0.53206565737051803</c:v>
                </c:pt>
                <c:pt idx="6">
                  <c:v>0.53206565737051803</c:v>
                </c:pt>
                <c:pt idx="7">
                  <c:v>0.49219398717131468</c:v>
                </c:pt>
                <c:pt idx="8">
                  <c:v>0.45531020025766417</c:v>
                </c:pt>
                <c:pt idx="9">
                  <c:v>0.4211903921258553</c:v>
                </c:pt>
                <c:pt idx="10">
                  <c:v>0.38962743711592407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0.45593434262948196</c:v>
                </c:pt>
                <c:pt idx="1">
                  <c:v>0.44593434262948195</c:v>
                </c:pt>
                <c:pt idx="2">
                  <c:v>0.41593434262948192</c:v>
                </c:pt>
                <c:pt idx="3">
                  <c:v>0.36593434262948199</c:v>
                </c:pt>
                <c:pt idx="4">
                  <c:v>0.31593434262948195</c:v>
                </c:pt>
                <c:pt idx="6">
                  <c:v>0.45593434262948196</c:v>
                </c:pt>
                <c:pt idx="7">
                  <c:v>0.4858060128286853</c:v>
                </c:pt>
                <c:pt idx="8">
                  <c:v>0.46468979974233582</c:v>
                </c:pt>
                <c:pt idx="9">
                  <c:v>0.40880960787414466</c:v>
                </c:pt>
                <c:pt idx="10">
                  <c:v>0.3303725628840759</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0.81893071119533589</c:v>
                </c:pt>
                <c:pt idx="1">
                  <c:v>0.80914826242679105</c:v>
                </c:pt>
                <c:pt idx="2">
                  <c:v>0.84105016524648524</c:v>
                </c:pt>
                <c:pt idx="3">
                  <c:v>0.89056964538270056</c:v>
                </c:pt>
                <c:pt idx="4">
                  <c:v>0.95079983842611049</c:v>
                </c:pt>
                <c:pt idx="6">
                  <c:v>0.81893071119533589</c:v>
                </c:pt>
                <c:pt idx="7">
                  <c:v>0.7774979355257966</c:v>
                </c:pt>
                <c:pt idx="8">
                  <c:v>0.73816139935028846</c:v>
                </c:pt>
                <c:pt idx="9">
                  <c:v>0.7008150460519097</c:v>
                </c:pt>
                <c:pt idx="10">
                  <c:v>0.66535818481572073</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0.1760692888046641</c:v>
                </c:pt>
                <c:pt idx="1">
                  <c:v>0.16585173757320892</c:v>
                </c:pt>
                <c:pt idx="2">
                  <c:v>0.12394983475351473</c:v>
                </c:pt>
                <c:pt idx="3">
                  <c:v>6.9430354617299406E-2</c:v>
                </c:pt>
                <c:pt idx="4">
                  <c:v>4.2001615738894715E-3</c:v>
                </c:pt>
                <c:pt idx="6" formatCode="0%">
                  <c:v>0.1760692888046641</c:v>
                </c:pt>
                <c:pt idx="7">
                  <c:v>0.19750206447420338</c:v>
                </c:pt>
                <c:pt idx="8">
                  <c:v>0.2218386006497115</c:v>
                </c:pt>
                <c:pt idx="9">
                  <c:v>0.21918495394809023</c:v>
                </c:pt>
                <c:pt idx="10">
                  <c:v>0.18464181518427925</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83.445737773819317</c:v>
                </c:pt>
                <c:pt idx="1">
                  <c:v>85.54172511414879</c:v>
                </c:pt>
                <c:pt idx="2">
                  <c:v>87.637712454478262</c:v>
                </c:pt>
                <c:pt idx="3">
                  <c:v>89.733699794807748</c:v>
                </c:pt>
                <c:pt idx="4">
                  <c:v>91.34378277811355</c:v>
                </c:pt>
                <c:pt idx="5">
                  <c:v>92.953865761419351</c:v>
                </c:pt>
                <c:pt idx="6">
                  <c:v>92.993219954019722</c:v>
                </c:pt>
                <c:pt idx="7">
                  <c:v>93.032574146620092</c:v>
                </c:pt>
                <c:pt idx="8">
                  <c:v>93.071928339220463</c:v>
                </c:pt>
                <c:pt idx="9">
                  <c:v>95.674160250331909</c:v>
                </c:pt>
                <c:pt idx="10">
                  <c:v>98.276392161443354</c:v>
                </c:pt>
                <c:pt idx="11">
                  <c:v>100.8786240725548</c:v>
                </c:pt>
                <c:pt idx="12">
                  <c:v>103.48085598366625</c:v>
                </c:pt>
                <c:pt idx="13">
                  <c:v>106.08308789477769</c:v>
                </c:pt>
                <c:pt idx="14">
                  <c:v>108.68531980588914</c:v>
                </c:pt>
                <c:pt idx="15">
                  <c:v>111.28755171700058</c:v>
                </c:pt>
                <c:pt idx="16">
                  <c:v>113.88978362811203</c:v>
                </c:pt>
                <c:pt idx="17">
                  <c:v>116.49201553922347</c:v>
                </c:pt>
                <c:pt idx="18">
                  <c:v>119.09424745033492</c:v>
                </c:pt>
                <c:pt idx="19">
                  <c:v>123.09406375249645</c:v>
                </c:pt>
                <c:pt idx="20">
                  <c:v>127.093880054658</c:v>
                </c:pt>
                <c:pt idx="21">
                  <c:v>131.09369635681955</c:v>
                </c:pt>
                <c:pt idx="22">
                  <c:v>135.0935126589811</c:v>
                </c:pt>
                <c:pt idx="23">
                  <c:v>139.09332896114265</c:v>
                </c:pt>
                <c:pt idx="24">
                  <c:v>143.09314526330419</c:v>
                </c:pt>
                <c:pt idx="25">
                  <c:v>147.09296156546574</c:v>
                </c:pt>
                <c:pt idx="26">
                  <c:v>151.09277786762729</c:v>
                </c:pt>
                <c:pt idx="27">
                  <c:v>155.09259416978884</c:v>
                </c:pt>
                <c:pt idx="28">
                  <c:v>159.09241047195033</c:v>
                </c:pt>
                <c:pt idx="29">
                  <c:v>183.51622786685559</c:v>
                </c:pt>
                <c:pt idx="30">
                  <c:v>207.94004526176084</c:v>
                </c:pt>
                <c:pt idx="31">
                  <c:v>207.94004526176084</c:v>
                </c:pt>
                <c:pt idx="32">
                  <c:v>207.94004526176084</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9.5813624270132962</c:v>
                </c:pt>
                <c:pt idx="1">
                  <c:v>9.822026778313802</c:v>
                </c:pt>
                <c:pt idx="2">
                  <c:v>10.062691129614308</c:v>
                </c:pt>
                <c:pt idx="3">
                  <c:v>10.303355480914815</c:v>
                </c:pt>
                <c:pt idx="4">
                  <c:v>10.48822757878558</c:v>
                </c:pt>
                <c:pt idx="5">
                  <c:v>10.673099676656344</c:v>
                </c:pt>
                <c:pt idx="6">
                  <c:v>10.64133011902536</c:v>
                </c:pt>
                <c:pt idx="7">
                  <c:v>10.609560561394376</c:v>
                </c:pt>
                <c:pt idx="8">
                  <c:v>10.577791003763391</c:v>
                </c:pt>
                <c:pt idx="9">
                  <c:v>10.873539311445775</c:v>
                </c:pt>
                <c:pt idx="10">
                  <c:v>11.169287619128159</c:v>
                </c:pt>
                <c:pt idx="11">
                  <c:v>11.465035926810543</c:v>
                </c:pt>
                <c:pt idx="12">
                  <c:v>11.760784234492927</c:v>
                </c:pt>
                <c:pt idx="13">
                  <c:v>12.056532542175312</c:v>
                </c:pt>
                <c:pt idx="14">
                  <c:v>12.352280849857696</c:v>
                </c:pt>
                <c:pt idx="15">
                  <c:v>12.64802915754008</c:v>
                </c:pt>
                <c:pt idx="16">
                  <c:v>12.943777465222464</c:v>
                </c:pt>
                <c:pt idx="17">
                  <c:v>13.239525772904848</c:v>
                </c:pt>
                <c:pt idx="18">
                  <c:v>13.535274080587239</c:v>
                </c:pt>
                <c:pt idx="19">
                  <c:v>13.989860352223362</c:v>
                </c:pt>
                <c:pt idx="20">
                  <c:v>14.444446623859484</c:v>
                </c:pt>
                <c:pt idx="21">
                  <c:v>14.899032895495607</c:v>
                </c:pt>
                <c:pt idx="22">
                  <c:v>15.353619167131729</c:v>
                </c:pt>
                <c:pt idx="23">
                  <c:v>15.808205438767851</c:v>
                </c:pt>
                <c:pt idx="24">
                  <c:v>16.262791710403974</c:v>
                </c:pt>
                <c:pt idx="25">
                  <c:v>16.717377982040095</c:v>
                </c:pt>
                <c:pt idx="26">
                  <c:v>17.171964253676215</c:v>
                </c:pt>
                <c:pt idx="27">
                  <c:v>17.626550525312336</c:v>
                </c:pt>
                <c:pt idx="28">
                  <c:v>18.081136796948456</c:v>
                </c:pt>
                <c:pt idx="29">
                  <c:v>20.856947296713507</c:v>
                </c:pt>
                <c:pt idx="30">
                  <c:v>23.632757796478558</c:v>
                </c:pt>
                <c:pt idx="31">
                  <c:v>23.632757796478558</c:v>
                </c:pt>
                <c:pt idx="32">
                  <c:v>23.632757796478558</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3.2661400787071582</c:v>
                </c:pt>
                <c:pt idx="1">
                  <c:v>3.0403376504443838</c:v>
                </c:pt>
                <c:pt idx="2">
                  <c:v>2.8145352221816093</c:v>
                </c:pt>
                <c:pt idx="3">
                  <c:v>2.5887327939188354</c:v>
                </c:pt>
                <c:pt idx="4">
                  <c:v>2.6351821727959512</c:v>
                </c:pt>
                <c:pt idx="5">
                  <c:v>2.6816315516730675</c:v>
                </c:pt>
                <c:pt idx="6">
                  <c:v>2.6736494049015653</c:v>
                </c:pt>
                <c:pt idx="7">
                  <c:v>2.6656672581300631</c:v>
                </c:pt>
                <c:pt idx="8">
                  <c:v>2.6576851113585604</c:v>
                </c:pt>
                <c:pt idx="9">
                  <c:v>2.7319922964558381</c:v>
                </c:pt>
                <c:pt idx="10">
                  <c:v>2.8062994815531157</c:v>
                </c:pt>
                <c:pt idx="11">
                  <c:v>2.8806066666503933</c:v>
                </c:pt>
                <c:pt idx="12">
                  <c:v>2.954913851747671</c:v>
                </c:pt>
                <c:pt idx="13">
                  <c:v>3.0292210368449486</c:v>
                </c:pt>
                <c:pt idx="14">
                  <c:v>3.1035282219422262</c:v>
                </c:pt>
                <c:pt idx="15">
                  <c:v>3.1778354070395038</c:v>
                </c:pt>
                <c:pt idx="16">
                  <c:v>3.2521425921367815</c:v>
                </c:pt>
                <c:pt idx="17">
                  <c:v>3.3264497772340591</c:v>
                </c:pt>
                <c:pt idx="18">
                  <c:v>3.4007569623313376</c:v>
                </c:pt>
                <c:pt idx="19">
                  <c:v>3.5149724129415341</c:v>
                </c:pt>
                <c:pt idx="20">
                  <c:v>3.6291878635517305</c:v>
                </c:pt>
                <c:pt idx="21">
                  <c:v>3.743403314161927</c:v>
                </c:pt>
                <c:pt idx="22">
                  <c:v>3.8576187647721234</c:v>
                </c:pt>
                <c:pt idx="23">
                  <c:v>3.9718342153823198</c:v>
                </c:pt>
                <c:pt idx="24">
                  <c:v>4.0860496659925163</c:v>
                </c:pt>
                <c:pt idx="25">
                  <c:v>4.2002651166027132</c:v>
                </c:pt>
                <c:pt idx="26">
                  <c:v>4.3144805672129092</c:v>
                </c:pt>
                <c:pt idx="27">
                  <c:v>4.4286960178231052</c:v>
                </c:pt>
                <c:pt idx="28">
                  <c:v>4.5429114684333021</c:v>
                </c:pt>
                <c:pt idx="29">
                  <c:v>5.2403378247069003</c:v>
                </c:pt>
                <c:pt idx="30">
                  <c:v>5.9377641809804977</c:v>
                </c:pt>
                <c:pt idx="31">
                  <c:v>5.9377641809804977</c:v>
                </c:pt>
                <c:pt idx="32">
                  <c:v>5.9377641809804977</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0.61799148971759088</c:v>
                </c:pt>
                <c:pt idx="1">
                  <c:v>0.6286609931450593</c:v>
                </c:pt>
                <c:pt idx="2">
                  <c:v>0.63933049657252961</c:v>
                </c:pt>
                <c:pt idx="3">
                  <c:v>0.65</c:v>
                </c:pt>
                <c:pt idx="4">
                  <c:v>0.66077214814486951</c:v>
                </c:pt>
                <c:pt idx="5">
                  <c:v>0.671544296289739</c:v>
                </c:pt>
                <c:pt idx="6">
                  <c:v>0.68036025459511962</c:v>
                </c:pt>
                <c:pt idx="7">
                  <c:v>0.68917621290050024</c:v>
                </c:pt>
                <c:pt idx="8">
                  <c:v>0.69799217120588097</c:v>
                </c:pt>
                <c:pt idx="9">
                  <c:v>0.71745599491401779</c:v>
                </c:pt>
                <c:pt idx="10">
                  <c:v>0.73691981862215461</c:v>
                </c:pt>
                <c:pt idx="11">
                  <c:v>0.75638364233029143</c:v>
                </c:pt>
                <c:pt idx="12">
                  <c:v>0.77584746603842825</c:v>
                </c:pt>
                <c:pt idx="13">
                  <c:v>0.79531128974656506</c:v>
                </c:pt>
                <c:pt idx="14">
                  <c:v>0.81477511345470188</c:v>
                </c:pt>
                <c:pt idx="15">
                  <c:v>0.8342389371628387</c:v>
                </c:pt>
                <c:pt idx="16">
                  <c:v>0.85370276087097552</c:v>
                </c:pt>
                <c:pt idx="17">
                  <c:v>0.87316658457911234</c:v>
                </c:pt>
                <c:pt idx="18">
                  <c:v>0.89263040828724971</c:v>
                </c:pt>
                <c:pt idx="19">
                  <c:v>0.87698743620148201</c:v>
                </c:pt>
                <c:pt idx="20">
                  <c:v>0.8613444641157143</c:v>
                </c:pt>
                <c:pt idx="21">
                  <c:v>0.8457014920299466</c:v>
                </c:pt>
                <c:pt idx="22">
                  <c:v>0.8300585199441789</c:v>
                </c:pt>
                <c:pt idx="23">
                  <c:v>0.81441554785841119</c:v>
                </c:pt>
                <c:pt idx="24">
                  <c:v>0.79877257577264349</c:v>
                </c:pt>
                <c:pt idx="25">
                  <c:v>0.78312960368687579</c:v>
                </c:pt>
                <c:pt idx="26">
                  <c:v>0.76748663160110808</c:v>
                </c:pt>
                <c:pt idx="27">
                  <c:v>0.75184365951534038</c:v>
                </c:pt>
                <c:pt idx="28">
                  <c:v>0.73620068742957312</c:v>
                </c:pt>
                <c:pt idx="29">
                  <c:v>0.62399735286919245</c:v>
                </c:pt>
                <c:pt idx="30">
                  <c:v>0.51179401830881177</c:v>
                </c:pt>
                <c:pt idx="31">
                  <c:v>0.51179401830881177</c:v>
                </c:pt>
                <c:pt idx="32">
                  <c:v>0.51179401830881177</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7.0000470045650571</c:v>
                </c:pt>
                <c:pt idx="2">
                  <c:v>6.9500235022825292</c:v>
                </c:pt>
                <c:pt idx="3">
                  <c:v>6.9</c:v>
                </c:pt>
                <c:pt idx="4">
                  <c:v>7.0212765000000008</c:v>
                </c:pt>
                <c:pt idx="5">
                  <c:v>7.1425530000000004</c:v>
                </c:pt>
                <c:pt idx="6">
                  <c:v>7.2080453454864593</c:v>
                </c:pt>
                <c:pt idx="7">
                  <c:v>7.2735376909729181</c:v>
                </c:pt>
                <c:pt idx="8">
                  <c:v>7.339030036459377</c:v>
                </c:pt>
                <c:pt idx="9">
                  <c:v>7.3434819444748127</c:v>
                </c:pt>
                <c:pt idx="10">
                  <c:v>7.3479338524902484</c:v>
                </c:pt>
                <c:pt idx="11">
                  <c:v>7.3523857605056842</c:v>
                </c:pt>
                <c:pt idx="12">
                  <c:v>7.3568376685211199</c:v>
                </c:pt>
                <c:pt idx="13">
                  <c:v>7.3612895765365556</c:v>
                </c:pt>
                <c:pt idx="14">
                  <c:v>7.3657414845519913</c:v>
                </c:pt>
                <c:pt idx="15">
                  <c:v>7.370193392567427</c:v>
                </c:pt>
                <c:pt idx="16">
                  <c:v>7.3746453005828627</c:v>
                </c:pt>
                <c:pt idx="17">
                  <c:v>7.3790972085982984</c:v>
                </c:pt>
                <c:pt idx="18">
                  <c:v>7.3835491166137359</c:v>
                </c:pt>
                <c:pt idx="19">
                  <c:v>7.3407264382160182</c:v>
                </c:pt>
                <c:pt idx="20">
                  <c:v>7.2979037598183005</c:v>
                </c:pt>
                <c:pt idx="21">
                  <c:v>7.2550810814205828</c:v>
                </c:pt>
                <c:pt idx="22">
                  <c:v>7.2122584030228651</c:v>
                </c:pt>
                <c:pt idx="23">
                  <c:v>7.1694357246251474</c:v>
                </c:pt>
                <c:pt idx="24">
                  <c:v>7.1266130462274297</c:v>
                </c:pt>
                <c:pt idx="25">
                  <c:v>7.0837903678297121</c:v>
                </c:pt>
                <c:pt idx="26">
                  <c:v>7.0409676894319944</c:v>
                </c:pt>
                <c:pt idx="27">
                  <c:v>6.9981450110342767</c:v>
                </c:pt>
                <c:pt idx="28">
                  <c:v>6.9553223326365616</c:v>
                </c:pt>
                <c:pt idx="29">
                  <c:v>6.6959181622928794</c:v>
                </c:pt>
                <c:pt idx="30">
                  <c:v>6.4365139919491972</c:v>
                </c:pt>
                <c:pt idx="31">
                  <c:v>6.4365139919491972</c:v>
                </c:pt>
                <c:pt idx="32">
                  <c:v>6.4365139919491972</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2.1414716495416288E-2</c:v>
                </c:pt>
                <c:pt idx="2">
                  <c:v>2.17754946495833E-2</c:v>
                </c:pt>
                <c:pt idx="3">
                  <c:v>2.2136272803750311E-2</c:v>
                </c:pt>
                <c:pt idx="4">
                  <c:v>2.2524463787851348E-2</c:v>
                </c:pt>
                <c:pt idx="5">
                  <c:v>2.2912654771952382E-2</c:v>
                </c:pt>
                <c:pt idx="6">
                  <c:v>8.8277970481301565E-2</c:v>
                </c:pt>
                <c:pt idx="7">
                  <c:v>0.15364328619065076</c:v>
                </c:pt>
                <c:pt idx="8">
                  <c:v>0.21900860189999996</c:v>
                </c:pt>
                <c:pt idx="9">
                  <c:v>0.25117432108735877</c:v>
                </c:pt>
                <c:pt idx="10">
                  <c:v>0.28334004027471754</c:v>
                </c:pt>
                <c:pt idx="11">
                  <c:v>0.31550575946207632</c:v>
                </c:pt>
                <c:pt idx="12">
                  <c:v>0.3476714786494351</c:v>
                </c:pt>
                <c:pt idx="13">
                  <c:v>0.37983719783679387</c:v>
                </c:pt>
                <c:pt idx="14">
                  <c:v>0.41200291702415265</c:v>
                </c:pt>
                <c:pt idx="15">
                  <c:v>0.44416863621151143</c:v>
                </c:pt>
                <c:pt idx="16">
                  <c:v>0.4763343553988702</c:v>
                </c:pt>
                <c:pt idx="17">
                  <c:v>0.50850007458622903</c:v>
                </c:pt>
                <c:pt idx="18">
                  <c:v>0.54066579377358781</c:v>
                </c:pt>
                <c:pt idx="19">
                  <c:v>0.59035823829222334</c:v>
                </c:pt>
                <c:pt idx="20">
                  <c:v>0.64005068281085886</c:v>
                </c:pt>
                <c:pt idx="21">
                  <c:v>0.68974312732949439</c:v>
                </c:pt>
                <c:pt idx="22">
                  <c:v>0.73943557184812991</c:v>
                </c:pt>
                <c:pt idx="23">
                  <c:v>0.78912801636676544</c:v>
                </c:pt>
                <c:pt idx="24">
                  <c:v>0.83882046088540096</c:v>
                </c:pt>
                <c:pt idx="25">
                  <c:v>0.88851290540403649</c:v>
                </c:pt>
                <c:pt idx="26">
                  <c:v>0.93820534992267202</c:v>
                </c:pt>
                <c:pt idx="27">
                  <c:v>0.98789779444130754</c:v>
                </c:pt>
                <c:pt idx="28">
                  <c:v>1.0375902389599432</c:v>
                </c:pt>
                <c:pt idx="29">
                  <c:v>1.2931966660564604</c:v>
                </c:pt>
                <c:pt idx="30">
                  <c:v>1.5488030931529777</c:v>
                </c:pt>
                <c:pt idx="31">
                  <c:v>1.5488030931529777</c:v>
                </c:pt>
                <c:pt idx="32">
                  <c:v>1.5488030931529777</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17.201297447162645</c:v>
                </c:pt>
                <c:pt idx="2">
                  <c:v>17.259866703642921</c:v>
                </c:pt>
                <c:pt idx="3">
                  <c:v>17.318435960123196</c:v>
                </c:pt>
                <c:pt idx="4">
                  <c:v>17.43681911962635</c:v>
                </c:pt>
                <c:pt idx="5">
                  <c:v>17.555202279129503</c:v>
                </c:pt>
                <c:pt idx="6">
                  <c:v>17.651919196899122</c:v>
                </c:pt>
                <c:pt idx="7">
                  <c:v>17.748636114668741</c:v>
                </c:pt>
                <c:pt idx="8">
                  <c:v>17.845353032438364</c:v>
                </c:pt>
                <c:pt idx="9">
                  <c:v>17.380167734142425</c:v>
                </c:pt>
                <c:pt idx="10">
                  <c:v>16.91498243584649</c:v>
                </c:pt>
                <c:pt idx="11">
                  <c:v>16.449797137550554</c:v>
                </c:pt>
                <c:pt idx="12">
                  <c:v>15.984611839254617</c:v>
                </c:pt>
                <c:pt idx="13">
                  <c:v>15.51942654095868</c:v>
                </c:pt>
                <c:pt idx="14">
                  <c:v>15.054241242662743</c:v>
                </c:pt>
                <c:pt idx="15">
                  <c:v>14.589055944366805</c:v>
                </c:pt>
                <c:pt idx="16">
                  <c:v>14.123870646070868</c:v>
                </c:pt>
                <c:pt idx="17">
                  <c:v>13.658685347774931</c:v>
                </c:pt>
                <c:pt idx="18">
                  <c:v>13.193500049478992</c:v>
                </c:pt>
                <c:pt idx="19">
                  <c:v>13.378629810848029</c:v>
                </c:pt>
                <c:pt idx="20">
                  <c:v>13.563759572217066</c:v>
                </c:pt>
                <c:pt idx="21">
                  <c:v>13.748889333586103</c:v>
                </c:pt>
                <c:pt idx="22">
                  <c:v>13.93401909495514</c:v>
                </c:pt>
                <c:pt idx="23">
                  <c:v>14.119148856324177</c:v>
                </c:pt>
                <c:pt idx="24">
                  <c:v>14.304278617693214</c:v>
                </c:pt>
                <c:pt idx="25">
                  <c:v>14.489408379062251</c:v>
                </c:pt>
                <c:pt idx="26">
                  <c:v>14.674538140431288</c:v>
                </c:pt>
                <c:pt idx="27">
                  <c:v>14.859667901800325</c:v>
                </c:pt>
                <c:pt idx="28">
                  <c:v>15.044797663169364</c:v>
                </c:pt>
                <c:pt idx="29">
                  <c:v>16.602344097320774</c:v>
                </c:pt>
                <c:pt idx="30">
                  <c:v>18.159890531472183</c:v>
                </c:pt>
                <c:pt idx="31">
                  <c:v>18.159890531472183</c:v>
                </c:pt>
                <c:pt idx="32">
                  <c:v>18.159890531472183</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0.55636438726329929</c:v>
                </c:pt>
                <c:pt idx="2">
                  <c:v>0.57098512094066101</c:v>
                </c:pt>
                <c:pt idx="3">
                  <c:v>0.58560585461802261</c:v>
                </c:pt>
                <c:pt idx="4">
                  <c:v>0.59979525964270741</c:v>
                </c:pt>
                <c:pt idx="5">
                  <c:v>0.6139846646673921</c:v>
                </c:pt>
                <c:pt idx="6">
                  <c:v>0.61115250823634748</c:v>
                </c:pt>
                <c:pt idx="7">
                  <c:v>0.60832035180530286</c:v>
                </c:pt>
                <c:pt idx="8">
                  <c:v>0.60548819537425813</c:v>
                </c:pt>
                <c:pt idx="9">
                  <c:v>0.62173986975447038</c:v>
                </c:pt>
                <c:pt idx="10">
                  <c:v>0.63799154413468262</c:v>
                </c:pt>
                <c:pt idx="11">
                  <c:v>0.65424321851489486</c:v>
                </c:pt>
                <c:pt idx="12">
                  <c:v>0.67049489289510711</c:v>
                </c:pt>
                <c:pt idx="13">
                  <c:v>0.68674656727531935</c:v>
                </c:pt>
                <c:pt idx="14">
                  <c:v>0.7029982416555316</c:v>
                </c:pt>
                <c:pt idx="15">
                  <c:v>0.71924991603574384</c:v>
                </c:pt>
                <c:pt idx="16">
                  <c:v>0.73550159041595609</c:v>
                </c:pt>
                <c:pt idx="17">
                  <c:v>0.75175326479616833</c:v>
                </c:pt>
                <c:pt idx="18">
                  <c:v>0.76800493917638013</c:v>
                </c:pt>
                <c:pt idx="19">
                  <c:v>0.79117632042838004</c:v>
                </c:pt>
                <c:pt idx="20">
                  <c:v>0.81434770168037995</c:v>
                </c:pt>
                <c:pt idx="21">
                  <c:v>0.83751908293237987</c:v>
                </c:pt>
                <c:pt idx="22">
                  <c:v>0.86069046418437978</c:v>
                </c:pt>
                <c:pt idx="23">
                  <c:v>0.88386184543637969</c:v>
                </c:pt>
                <c:pt idx="24">
                  <c:v>0.9070332266883796</c:v>
                </c:pt>
                <c:pt idx="25">
                  <c:v>0.93020460794037951</c:v>
                </c:pt>
                <c:pt idx="26">
                  <c:v>0.95337598919237942</c:v>
                </c:pt>
                <c:pt idx="27">
                  <c:v>0.97654737044437934</c:v>
                </c:pt>
                <c:pt idx="28">
                  <c:v>0.99971875169637903</c:v>
                </c:pt>
                <c:pt idx="29">
                  <c:v>1.1282340078850792</c:v>
                </c:pt>
                <c:pt idx="30">
                  <c:v>1.2567492640737796</c:v>
                </c:pt>
                <c:pt idx="31">
                  <c:v>1.2567492640737796</c:v>
                </c:pt>
                <c:pt idx="32">
                  <c:v>1.2567492640737796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96</xdr:row>
      <xdr:rowOff>3572</xdr:rowOff>
    </xdr:from>
    <xdr:to>
      <xdr:col>33</xdr:col>
      <xdr:colOff>232172</xdr:colOff>
      <xdr:row>109</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105</xdr:row>
      <xdr:rowOff>39290</xdr:rowOff>
    </xdr:from>
    <xdr:to>
      <xdr:col>33</xdr:col>
      <xdr:colOff>232172</xdr:colOff>
      <xdr:row>119</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117</xdr:row>
      <xdr:rowOff>39290</xdr:rowOff>
    </xdr:from>
    <xdr:to>
      <xdr:col>33</xdr:col>
      <xdr:colOff>232172</xdr:colOff>
      <xdr:row>131</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533399B4-0D24-472D-BAB8-869F583F4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944D90AD-63EF-45C6-8EEE-6694ECA4A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5" name="Chart 4">
          <a:extLst>
            <a:ext uri="{FF2B5EF4-FFF2-40B4-BE49-F238E27FC236}">
              <a16:creationId xmlns:a16="http://schemas.microsoft.com/office/drawing/2014/main" id="{22ED60FD-B94E-4D15-91D4-5C94DEDB3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6" name="Chart 5">
          <a:extLst>
            <a:ext uri="{FF2B5EF4-FFF2-40B4-BE49-F238E27FC236}">
              <a16:creationId xmlns:a16="http://schemas.microsoft.com/office/drawing/2014/main" id="{3CFE58DA-7168-4C88-92F6-3ECAA4468B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319367</xdr:colOff>
      <xdr:row>82</xdr:row>
      <xdr:rowOff>68355</xdr:rowOff>
    </xdr:from>
    <xdr:to>
      <xdr:col>33</xdr:col>
      <xdr:colOff>50426</xdr:colOff>
      <xdr:row>96</xdr:row>
      <xdr:rowOff>133349</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3</xdr:row>
      <xdr:rowOff>0</xdr:rowOff>
    </xdr:from>
    <xdr:to>
      <xdr:col>49</xdr:col>
      <xdr:colOff>236419</xdr:colOff>
      <xdr:row>38</xdr:row>
      <xdr:rowOff>84876</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1183600" y="581025"/>
          <a:ext cx="13647619" cy="67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91440</xdr:colOff>
      <xdr:row>142</xdr:row>
      <xdr:rowOff>30480</xdr:rowOff>
    </xdr:from>
    <xdr:to>
      <xdr:col>46</xdr:col>
      <xdr:colOff>198120</xdr:colOff>
      <xdr:row>162</xdr:row>
      <xdr:rowOff>167640</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0</xdr:colOff>
      <xdr:row>162</xdr:row>
      <xdr:rowOff>175260</xdr:rowOff>
    </xdr:from>
    <xdr:to>
      <xdr:col>46</xdr:col>
      <xdr:colOff>106680</xdr:colOff>
      <xdr:row>183</xdr:row>
      <xdr:rowOff>137160</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237723</xdr:colOff>
      <xdr:row>2</xdr:row>
      <xdr:rowOff>147279</xdr:rowOff>
    </xdr:from>
    <xdr:to>
      <xdr:col>30</xdr:col>
      <xdr:colOff>166967</xdr:colOff>
      <xdr:row>17</xdr:row>
      <xdr:rowOff>169865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46</xdr:col>
      <xdr:colOff>190500</xdr:colOff>
      <xdr:row>162</xdr:row>
      <xdr:rowOff>54428</xdr:rowOff>
    </xdr:from>
    <xdr:to>
      <xdr:col>56</xdr:col>
      <xdr:colOff>535098</xdr:colOff>
      <xdr:row>184</xdr:row>
      <xdr:rowOff>108857</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860625" y="31115453"/>
          <a:ext cx="7107348" cy="4254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s/SATIMGE_04/SATIM/DataSpreadsheets/DMD_PRJ_bmc.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0</v>
          </cell>
        </row>
        <row r="8">
          <cell r="C8">
            <v>0</v>
          </cell>
        </row>
        <row r="9">
          <cell r="C9">
            <v>1</v>
          </cell>
        </row>
        <row r="10">
          <cell r="C10">
            <v>0</v>
          </cell>
        </row>
        <row r="11">
          <cell r="C11">
            <v>0</v>
          </cell>
        </row>
      </sheetData>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sheetName val="mileagedegrad"/>
      <sheetName val="Calib_1011"/>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refreshError="1"/>
      <sheetData sheetId="1">
        <row r="68">
          <cell r="AG68">
            <v>744.7462524</v>
          </cell>
        </row>
        <row r="69">
          <cell r="AI69">
            <v>35178.032837499988</v>
          </cell>
        </row>
        <row r="70">
          <cell r="AI70">
            <v>42764.908764899999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27">
          <cell r="AC27">
            <v>2.5010052180158762</v>
          </cell>
        </row>
        <row r="28">
          <cell r="AC28">
            <v>3.8604597839440302</v>
          </cell>
        </row>
        <row r="29">
          <cell r="AC29">
            <v>6.0039084459078387</v>
          </cell>
        </row>
        <row r="30">
          <cell r="AC30">
            <v>7.4777222934684477</v>
          </cell>
        </row>
        <row r="31">
          <cell r="AC31">
            <v>10.302260917235891</v>
          </cell>
        </row>
        <row r="32">
          <cell r="AC32">
            <v>13.929123617232234</v>
          </cell>
        </row>
        <row r="33">
          <cell r="AC33">
            <v>17.52549021473704</v>
          </cell>
        </row>
        <row r="34">
          <cell r="AC34">
            <v>21.906335545077848</v>
          </cell>
        </row>
        <row r="35">
          <cell r="AC35">
            <v>1.4841793377794028</v>
          </cell>
        </row>
        <row r="36">
          <cell r="AC36">
            <v>0.39785406833795833</v>
          </cell>
        </row>
        <row r="71">
          <cell r="K71">
            <v>25</v>
          </cell>
          <cell r="M71">
            <v>0.12640977128296399</v>
          </cell>
        </row>
        <row r="72">
          <cell r="K72">
            <v>14</v>
          </cell>
          <cell r="M72">
            <v>0.74431502544952532</v>
          </cell>
        </row>
        <row r="73">
          <cell r="M73">
            <v>0.1292752032675106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48">
        <row r="10">
          <cell r="D10" t="str">
            <v>TPPRSUV</v>
          </cell>
          <cell r="J10">
            <v>10.045687245472017</v>
          </cell>
        </row>
        <row r="11">
          <cell r="D11" t="str">
            <v>TPPRCAR</v>
          </cell>
          <cell r="J11">
            <v>87.436118489606955</v>
          </cell>
        </row>
        <row r="12">
          <cell r="D12" t="str">
            <v>TPPRMOT</v>
          </cell>
          <cell r="J12">
            <v>4.788655061211033</v>
          </cell>
        </row>
        <row r="13">
          <cell r="D13" t="str">
            <v>TPPUBUS</v>
          </cell>
          <cell r="J13">
            <v>0.61799148971759088</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25.099999999999998</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sheetData>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9.5227140641133712</v>
          </cell>
        </row>
        <row r="13">
          <cell r="J13">
            <v>4.8851919315217742</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0.63970000000000005</v>
          </cell>
        </row>
        <row r="74">
          <cell r="A74" t="str">
            <v/>
          </cell>
          <cell r="D74" t="str">
            <v>ICPA</v>
          </cell>
          <cell r="J74">
            <v>0.2086787369811067</v>
          </cell>
          <cell r="O74">
            <v>0.2398875</v>
          </cell>
        </row>
        <row r="75">
          <cell r="A75" t="str">
            <v/>
          </cell>
          <cell r="D75" t="str">
            <v>ICPL</v>
          </cell>
          <cell r="J75">
            <v>0.3338859791697707</v>
          </cell>
          <cell r="O75">
            <v>0.38381999999999999</v>
          </cell>
        </row>
        <row r="76">
          <cell r="A76" t="str">
            <v/>
          </cell>
          <cell r="D76" t="str">
            <v>ICPC</v>
          </cell>
          <cell r="J76">
            <v>2.7823831597480893</v>
          </cell>
          <cell r="O76">
            <v>3.1985000000000001</v>
          </cell>
        </row>
        <row r="77">
          <cell r="A77" t="str">
            <v/>
          </cell>
          <cell r="D77" t="str">
            <v>ICPH</v>
          </cell>
          <cell r="J77">
            <v>0.5008289687546561</v>
          </cell>
          <cell r="O77">
            <v>0.57573000000000008</v>
          </cell>
        </row>
        <row r="78">
          <cell r="A78" t="str">
            <v/>
          </cell>
          <cell r="D78" t="str">
            <v>ICPP</v>
          </cell>
          <cell r="J78">
            <v>7.7906728472946494</v>
          </cell>
          <cell r="O78">
            <v>8.9558</v>
          </cell>
        </row>
        <row r="79">
          <cell r="A79" t="str">
            <v/>
          </cell>
          <cell r="D79" t="str">
            <v>ICPF</v>
          </cell>
          <cell r="J79">
            <v>1.7807252222387775</v>
          </cell>
          <cell r="O79">
            <v>2.0470400000000004</v>
          </cell>
        </row>
        <row r="80">
          <cell r="A80" t="str">
            <v/>
          </cell>
          <cell r="D80" t="str">
            <v>ICPO</v>
          </cell>
          <cell r="J80">
            <v>4.4518130555969435</v>
          </cell>
          <cell r="O80">
            <v>5.1176000000000004</v>
          </cell>
        </row>
        <row r="81">
          <cell r="A81" t="str">
            <v/>
          </cell>
          <cell r="D81" t="str">
            <v>ICPE</v>
          </cell>
          <cell r="J81">
            <v>1.6916889611268384</v>
          </cell>
          <cell r="O81">
            <v>1.9446880000000002</v>
          </cell>
        </row>
        <row r="82">
          <cell r="A82" t="str">
            <v>*</v>
          </cell>
          <cell r="D82" t="str">
            <v xml:space="preserve"> </v>
          </cell>
          <cell r="J82" t="str">
            <v/>
          </cell>
          <cell r="O82" t="str">
            <v/>
          </cell>
        </row>
        <row r="83">
          <cell r="A83" t="str">
            <v/>
          </cell>
          <cell r="D83" t="str">
            <v>ICPS</v>
          </cell>
          <cell r="J83">
            <v>27.288197120140854</v>
          </cell>
          <cell r="O83">
            <v>20.990606000000003</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49.996000000000002</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0.54078999999999999</v>
          </cell>
        </row>
        <row r="95">
          <cell r="A95" t="str">
            <v/>
          </cell>
          <cell r="D95" t="str">
            <v>INFA</v>
          </cell>
          <cell r="J95">
            <v>0</v>
          </cell>
          <cell r="O95">
            <v>0</v>
          </cell>
        </row>
        <row r="96">
          <cell r="A96" t="str">
            <v/>
          </cell>
          <cell r="D96" t="str">
            <v>INFL</v>
          </cell>
          <cell r="J96">
            <v>0.20036876463104916</v>
          </cell>
          <cell r="O96">
            <v>0.16223699999999999</v>
          </cell>
        </row>
        <row r="97">
          <cell r="A97" t="str">
            <v/>
          </cell>
          <cell r="D97" t="str">
            <v>INFC</v>
          </cell>
          <cell r="J97">
            <v>0</v>
          </cell>
          <cell r="O97">
            <v>0</v>
          </cell>
        </row>
        <row r="98">
          <cell r="A98" t="str">
            <v/>
          </cell>
          <cell r="D98" t="str">
            <v>INFH</v>
          </cell>
          <cell r="J98">
            <v>0.60110629389314751</v>
          </cell>
          <cell r="O98">
            <v>0.486711</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3.0284240000000007</v>
          </cell>
        </row>
        <row r="102">
          <cell r="A102" t="str">
            <v/>
          </cell>
          <cell r="D102" t="str">
            <v>INFE</v>
          </cell>
          <cell r="J102">
            <v>45.684078335879221</v>
          </cell>
          <cell r="O102">
            <v>36.990036000000003</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14.601022992423397</v>
          </cell>
          <cell r="O13">
            <v>11.051872021868823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5.6499455804389198</v>
          </cell>
          <cell r="O15">
            <v>7.5265253097291538</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9.0451133406280029</v>
          </cell>
          <cell r="O23">
            <v>8.5205547805953277</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sheetData>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4.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92" t="s">
        <v>216</v>
      </c>
      <c r="B1" s="92" t="s">
        <v>32</v>
      </c>
      <c r="C1" s="92" t="s">
        <v>218</v>
      </c>
      <c r="D1" s="92" t="s">
        <v>214</v>
      </c>
    </row>
    <row r="2" spans="1:4">
      <c r="A2" s="91">
        <v>41499</v>
      </c>
      <c r="B2" s="90" t="s">
        <v>217</v>
      </c>
      <c r="C2" s="90" t="s">
        <v>219</v>
      </c>
      <c r="D2" t="s">
        <v>215</v>
      </c>
    </row>
    <row r="3" spans="1:4">
      <c r="A3" s="91">
        <v>41500</v>
      </c>
      <c r="B3" t="s">
        <v>222</v>
      </c>
      <c r="C3" s="4" t="s">
        <v>223</v>
      </c>
      <c r="D3" s="4" t="s">
        <v>215</v>
      </c>
    </row>
    <row r="4" spans="1:4">
      <c r="A4" s="91">
        <v>41502</v>
      </c>
      <c r="B4" t="s">
        <v>224</v>
      </c>
      <c r="C4" s="4" t="s">
        <v>223</v>
      </c>
      <c r="D4" s="4" t="s">
        <v>215</v>
      </c>
    </row>
    <row r="5" spans="1:4">
      <c r="A5" s="91">
        <v>41505</v>
      </c>
      <c r="B5" t="s">
        <v>226</v>
      </c>
      <c r="C5" s="4" t="s">
        <v>261</v>
      </c>
      <c r="D5" t="s">
        <v>225</v>
      </c>
    </row>
    <row r="7" spans="1:4">
      <c r="A7" s="91">
        <v>41599</v>
      </c>
      <c r="B7" t="s">
        <v>267</v>
      </c>
      <c r="C7" s="4" t="s">
        <v>4</v>
      </c>
      <c r="D7" t="s">
        <v>225</v>
      </c>
    </row>
    <row r="9" spans="1:4">
      <c r="A9" s="91" t="s">
        <v>410</v>
      </c>
      <c r="B9" t="s">
        <v>411</v>
      </c>
      <c r="D9" t="s">
        <v>412</v>
      </c>
    </row>
    <row r="11" spans="1:4">
      <c r="A11" s="91">
        <v>42467</v>
      </c>
      <c r="B11" t="s">
        <v>435</v>
      </c>
      <c r="C11" s="4" t="s">
        <v>436</v>
      </c>
      <c r="D11" t="s">
        <v>437</v>
      </c>
    </row>
    <row r="13" spans="1:4">
      <c r="A13" s="165">
        <v>42963</v>
      </c>
      <c r="B13" t="s">
        <v>458</v>
      </c>
      <c r="C13" s="4" t="s">
        <v>457</v>
      </c>
      <c r="D13" t="s">
        <v>225</v>
      </c>
    </row>
    <row r="14" spans="1:4">
      <c r="B14" t="s">
        <v>459</v>
      </c>
      <c r="D14" s="4"/>
    </row>
    <row r="15" spans="1:4">
      <c r="B15" t="s">
        <v>460</v>
      </c>
    </row>
    <row r="17" spans="1:4">
      <c r="A17" s="165">
        <v>43007</v>
      </c>
      <c r="B17" t="s">
        <v>513</v>
      </c>
      <c r="D17" t="s">
        <v>225</v>
      </c>
    </row>
    <row r="18" spans="1:4">
      <c r="B18" t="s">
        <v>514</v>
      </c>
    </row>
    <row r="20" spans="1:4">
      <c r="A20" s="165">
        <v>43039</v>
      </c>
      <c r="B20" t="s">
        <v>538</v>
      </c>
      <c r="C20" s="4" t="s">
        <v>539</v>
      </c>
      <c r="D20" t="s">
        <v>540</v>
      </c>
    </row>
    <row r="21" spans="1:4">
      <c r="B21" t="s">
        <v>541</v>
      </c>
      <c r="C21" s="4" t="s">
        <v>4</v>
      </c>
      <c r="D21" t="s">
        <v>540</v>
      </c>
    </row>
    <row r="24" spans="1:4" s="225" customFormat="1">
      <c r="A24" s="257">
        <v>44007.756886921299</v>
      </c>
      <c r="B24" s="225" t="s">
        <v>638</v>
      </c>
      <c r="C24" s="225" t="s">
        <v>639</v>
      </c>
      <c r="D24" s="225" t="s">
        <v>640</v>
      </c>
    </row>
    <row r="25" spans="1:4" s="225" customFormat="1"/>
    <row r="26" spans="1:4" s="225" customFormat="1"/>
    <row r="27" spans="1:4" s="225" customFormat="1"/>
    <row r="28" spans="1:4" s="225" customFormat="1"/>
    <row r="29" spans="1:4" s="225" customFormat="1"/>
    <row r="30" spans="1:4" s="225" customFormat="1"/>
    <row r="31" spans="1:4" s="225" customFormat="1"/>
    <row r="32" spans="1:4" s="225" customFormat="1"/>
    <row r="33" spans="1:2" s="225" customFormat="1"/>
    <row r="34" spans="1:2" s="225" customFormat="1"/>
    <row r="35" spans="1:2" s="225" customFormat="1"/>
    <row r="37" spans="1:2">
      <c r="A37" s="257">
        <f ca="1">NOW()</f>
        <v>44042.617037152777</v>
      </c>
    </row>
    <row r="38" spans="1:2">
      <c r="A38" t="s">
        <v>523</v>
      </c>
      <c r="B38" t="s">
        <v>524</v>
      </c>
    </row>
    <row r="39" spans="1:2">
      <c r="B39" t="s">
        <v>527</v>
      </c>
    </row>
    <row r="40" spans="1:2">
      <c r="B40" t="s">
        <v>525</v>
      </c>
    </row>
    <row r="41" spans="1:2">
      <c r="B41" t="s">
        <v>526</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407</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483</v>
      </c>
      <c r="H17" s="2"/>
      <c r="I17" s="2"/>
      <c r="J17" s="4"/>
      <c r="K17" s="4"/>
      <c r="L17" s="4"/>
      <c r="M17" s="2"/>
      <c r="N17" s="2"/>
      <c r="O17" s="2"/>
      <c r="P17" s="2"/>
      <c r="Q17" s="4"/>
      <c r="R17" s="4"/>
      <c r="S17" s="4"/>
    </row>
    <row r="18" spans="2:19">
      <c r="B18" s="4"/>
      <c r="C18" s="4"/>
      <c r="D18" s="4"/>
      <c r="E18" s="4"/>
      <c r="F18" s="4"/>
      <c r="G18" s="4" t="s">
        <v>482</v>
      </c>
      <c r="H18" s="2" t="s">
        <v>484</v>
      </c>
      <c r="I18" s="2"/>
      <c r="J18" s="4"/>
      <c r="K18" s="4"/>
      <c r="L18" s="4"/>
      <c r="M18" s="2"/>
      <c r="N18" s="2"/>
      <c r="O18" s="2"/>
      <c r="P18" s="2"/>
      <c r="Q18" s="4"/>
      <c r="R18" s="4"/>
      <c r="S18" s="4"/>
    </row>
    <row r="19" spans="2:19">
      <c r="B19" s="4" t="s">
        <v>481</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topLeftCell="A24" workbookViewId="0">
      <selection activeCell="B9" sqref="B9"/>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415</v>
      </c>
    </row>
    <row r="7" spans="1:6">
      <c r="A7" s="4" t="s">
        <v>302</v>
      </c>
      <c r="B7" s="4" t="s">
        <v>305</v>
      </c>
      <c r="C7" s="4" t="s">
        <v>405</v>
      </c>
      <c r="D7" s="4">
        <v>1</v>
      </c>
      <c r="E7" s="4">
        <v>1</v>
      </c>
      <c r="F7" s="4"/>
    </row>
    <row r="8" spans="1:6">
      <c r="A8" s="4" t="s">
        <v>302</v>
      </c>
      <c r="B8" s="4" t="s">
        <v>649</v>
      </c>
      <c r="C8" s="4" t="s">
        <v>406</v>
      </c>
      <c r="D8" s="4"/>
      <c r="E8" s="4">
        <v>1</v>
      </c>
      <c r="F8" s="4"/>
    </row>
    <row r="9" spans="1:6">
      <c r="A9" s="4" t="s">
        <v>302</v>
      </c>
      <c r="B9" s="4" t="s">
        <v>414</v>
      </c>
      <c r="C9" s="4" t="s">
        <v>413</v>
      </c>
      <c r="D9" s="4"/>
      <c r="E9" s="4"/>
      <c r="F9" s="4">
        <v>0</v>
      </c>
    </row>
    <row r="10" spans="1:6">
      <c r="A10" s="4" t="s">
        <v>302</v>
      </c>
      <c r="B10" s="4" t="s">
        <v>528</v>
      </c>
      <c r="C10" s="4" t="s">
        <v>529</v>
      </c>
      <c r="D10" s="4">
        <v>1</v>
      </c>
      <c r="E10" s="4">
        <v>1</v>
      </c>
      <c r="F10" s="4"/>
    </row>
    <row r="11" spans="1:6">
      <c r="A11" s="4" t="s">
        <v>302</v>
      </c>
      <c r="B11" s="4" t="s">
        <v>530</v>
      </c>
      <c r="C11" s="4" t="s">
        <v>531</v>
      </c>
      <c r="D11" s="4"/>
      <c r="E11" s="4">
        <v>1</v>
      </c>
      <c r="F11" s="4"/>
    </row>
    <row r="12" spans="1:6">
      <c r="A12" s="4" t="s">
        <v>520</v>
      </c>
      <c r="B12" s="4" t="s">
        <v>521</v>
      </c>
      <c r="C12" s="4" t="s">
        <v>522</v>
      </c>
      <c r="D12" s="4">
        <v>2</v>
      </c>
      <c r="E12" s="4">
        <v>1</v>
      </c>
      <c r="F12" s="4"/>
    </row>
    <row r="13" spans="1:6">
      <c r="A13" s="4" t="s">
        <v>302</v>
      </c>
      <c r="B13" s="4" t="s">
        <v>543</v>
      </c>
      <c r="C13" s="4" t="s">
        <v>571</v>
      </c>
      <c r="D13" s="4"/>
      <c r="E13" s="4">
        <v>1</v>
      </c>
      <c r="F13" s="4"/>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C9" sqref="C9"/>
    </sheetView>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391</v>
      </c>
      <c r="C7" s="4" t="s">
        <v>390</v>
      </c>
      <c r="D7" s="4">
        <v>1</v>
      </c>
      <c r="E7" s="4">
        <v>1</v>
      </c>
    </row>
    <row r="8" spans="1:5">
      <c r="A8" s="4" t="s">
        <v>302</v>
      </c>
      <c r="B8" s="4" t="s">
        <v>440</v>
      </c>
      <c r="C8" s="4" t="str">
        <f>"PTRA!"&amp;ADDRESS(ROW(PTRA!J227),COLUMN(PTRA!J227),4)</f>
        <v>PTRA!J227</v>
      </c>
      <c r="D8" s="4">
        <v>1</v>
      </c>
      <c r="E8" s="4">
        <v>1</v>
      </c>
    </row>
    <row r="9" spans="1:5">
      <c r="A9" s="4" t="s">
        <v>302</v>
      </c>
      <c r="B9" s="4" t="s">
        <v>441</v>
      </c>
      <c r="C9" s="4" t="str">
        <f>"FTRA!"&amp;ADDRESS(ROW(FTRA!J170),COLUMN(FTRA!J170),4)</f>
        <v>FTRA!J170</v>
      </c>
      <c r="D9" s="4">
        <v>1</v>
      </c>
      <c r="E9" s="4">
        <v>1</v>
      </c>
    </row>
    <row r="10" spans="1:5">
      <c r="A10" s="4" t="s">
        <v>302</v>
      </c>
      <c r="B10" s="4" t="s">
        <v>515</v>
      </c>
      <c r="C10" s="225" t="str">
        <f>"PTRA!"&amp;ADDRESS(ROW(PTRA!H254),COLUMN(PTRA!H254),4)</f>
        <v>PTRA!H254</v>
      </c>
      <c r="D10" s="4">
        <v>2</v>
      </c>
      <c r="E10" s="4">
        <v>1</v>
      </c>
    </row>
    <row r="11" spans="1:5">
      <c r="A11" t="s">
        <v>302</v>
      </c>
      <c r="B11" t="s">
        <v>516</v>
      </c>
      <c r="C11" t="s">
        <v>517</v>
      </c>
      <c r="D11" s="4">
        <v>1</v>
      </c>
      <c r="E11" s="4">
        <v>1</v>
      </c>
    </row>
    <row r="12" spans="1:5">
      <c r="A12" t="s">
        <v>302</v>
      </c>
      <c r="B12" t="s">
        <v>518</v>
      </c>
      <c r="C12" t="s">
        <v>519</v>
      </c>
      <c r="D12">
        <v>1</v>
      </c>
      <c r="E12">
        <v>1</v>
      </c>
    </row>
    <row r="13" spans="1:5">
      <c r="A13" t="s">
        <v>520</v>
      </c>
      <c r="B13" t="s">
        <v>521</v>
      </c>
      <c r="C13" s="4" t="s">
        <v>522</v>
      </c>
      <c r="D13" s="4">
        <v>2</v>
      </c>
      <c r="E13" s="4">
        <v>1</v>
      </c>
    </row>
    <row r="14" spans="1:5" s="4" customFormat="1">
      <c r="A14" s="225"/>
      <c r="B14" s="225"/>
      <c r="C14" s="36"/>
      <c r="D14" s="22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election activeCell="V38" sqref="V38"/>
    </sheetView>
  </sheetViews>
  <sheetFormatPr defaultColWidth="9.140625" defaultRowHeight="15"/>
  <cols>
    <col min="1" max="16384" width="9.140625" style="4"/>
  </cols>
  <sheetData>
    <row r="1" spans="1:31">
      <c r="A1" t="s">
        <v>480</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461</v>
      </c>
      <c r="C2" s="4" t="s">
        <v>462</v>
      </c>
      <c r="D2" s="8">
        <f>SUM([2]Sheet1!D6,[2]Sheet1!D40,[2]Sheet1!D74,[2]Sheet1!D108)</f>
        <v>2352836.9199662828</v>
      </c>
      <c r="E2" s="8">
        <f>SUM([2]Sheet1!E6,[2]Sheet1!E40,[2]Sheet1!E74,[2]Sheet1!E108)</f>
        <v>2353712.1472010948</v>
      </c>
      <c r="F2" s="8">
        <f>SUM([2]Sheet1!F6,[2]Sheet1!F40,[2]Sheet1!F74,[2]Sheet1!F108)</f>
        <v>2384676.8126227115</v>
      </c>
      <c r="G2" s="8">
        <f>SUM([2]Sheet1!G6,[2]Sheet1!G40,[2]Sheet1!G74,[2]Sheet1!G108)</f>
        <v>2433637.7196340291</v>
      </c>
      <c r="H2" s="8">
        <f>SUM([2]Sheet1!H6,[2]Sheet1!H40,[2]Sheet1!H74,[2]Sheet1!H108)</f>
        <v>2514444.1056430414</v>
      </c>
      <c r="I2" s="8">
        <f>SUM([2]Sheet1!I6,[2]Sheet1!I40,[2]Sheet1!I74,[2]Sheet1!I108)</f>
        <v>2615310.2237567683</v>
      </c>
      <c r="J2" s="8">
        <f>SUM([2]Sheet1!J6,[2]Sheet1!J40,[2]Sheet1!J74,[2]Sheet1!J108)</f>
        <v>2720677.3481308571</v>
      </c>
      <c r="K2" s="8">
        <f>SUM([2]Sheet1!K6,[2]Sheet1!K40,[2]Sheet1!K74,[2]Sheet1!K108)</f>
        <v>2798583.1997686187</v>
      </c>
      <c r="L2" s="8">
        <f>SUM([2]Sheet1!L6,[2]Sheet1!L40,[2]Sheet1!L74,[2]Sheet1!L108)</f>
        <v>2854890.3931614971</v>
      </c>
      <c r="M2" s="8">
        <f>SUM([2]Sheet1!M6,[2]Sheet1!M40,[2]Sheet1!M74,[2]Sheet1!M108)</f>
        <v>2890850.7370394776</v>
      </c>
      <c r="N2" s="8">
        <f>SUM([2]Sheet1!N6,[2]Sheet1!N40,[2]Sheet1!N74,[2]Sheet1!N108)</f>
        <v>2910205.4064366445</v>
      </c>
      <c r="O2" s="8">
        <f>SUM([2]Sheet1!O6,[2]Sheet1!O40,[2]Sheet1!O74,[2]Sheet1!O108)</f>
        <v>2922618.9342035525</v>
      </c>
      <c r="P2" s="8">
        <f>SUM([2]Sheet1!P6,[2]Sheet1!P40,[2]Sheet1!P74,[2]Sheet1!P108)</f>
        <v>2933005.3149803439</v>
      </c>
      <c r="Q2" s="8">
        <f>SUM([2]Sheet1!Q6,[2]Sheet1!Q40,[2]Sheet1!Q74,[2]Sheet1!Q108)</f>
        <v>2941344.4336485704</v>
      </c>
      <c r="R2" s="8">
        <f>SUM([2]Sheet1!R6,[2]Sheet1!R40,[2]Sheet1!R74,[2]Sheet1!R108)</f>
        <v>2946654.5180383818</v>
      </c>
      <c r="S2" s="8">
        <f>SUM([2]Sheet1!S6,[2]Sheet1!S40,[2]Sheet1!S74,[2]Sheet1!S108)</f>
        <v>2946311.8348281723</v>
      </c>
      <c r="T2" s="8"/>
      <c r="U2" s="8"/>
      <c r="V2" s="8"/>
      <c r="W2" s="8"/>
      <c r="X2" s="8"/>
      <c r="Y2" s="8"/>
      <c r="Z2" s="8"/>
      <c r="AA2" s="8"/>
      <c r="AB2" s="8"/>
      <c r="AC2" s="8"/>
      <c r="AD2" s="8"/>
      <c r="AE2" s="8"/>
    </row>
    <row r="3" spans="1:31">
      <c r="B3" s="4" t="s">
        <v>461</v>
      </c>
      <c r="C3" s="4" t="s">
        <v>463</v>
      </c>
      <c r="D3" s="8">
        <f>SUM([2]Sheet1!D7,[2]Sheet1!D41,[2]Sheet1!D75,[2]Sheet1!D109)</f>
        <v>2489008.6259477925</v>
      </c>
      <c r="E3" s="8">
        <f>SUM([2]Sheet1!E7,[2]Sheet1!E41,[2]Sheet1!E75,[2]Sheet1!E109)</f>
        <v>2445518.8424010845</v>
      </c>
      <c r="F3" s="8">
        <f>SUM([2]Sheet1!F7,[2]Sheet1!F41,[2]Sheet1!F75,[2]Sheet1!F109)</f>
        <v>2407557.7983711092</v>
      </c>
      <c r="G3" s="8">
        <f>SUM([2]Sheet1!G7,[2]Sheet1!G41,[2]Sheet1!G75,[2]Sheet1!G109)</f>
        <v>2378852.9311973583</v>
      </c>
      <c r="H3" s="8">
        <f>SUM([2]Sheet1!H7,[2]Sheet1!H41,[2]Sheet1!H75,[2]Sheet1!H109)</f>
        <v>2346392.7334666867</v>
      </c>
      <c r="I3" s="8">
        <f>SUM([2]Sheet1!I7,[2]Sheet1!I41,[2]Sheet1!I75,[2]Sheet1!I109)</f>
        <v>2326969.4787796293</v>
      </c>
      <c r="J3" s="8">
        <f>SUM([2]Sheet1!J7,[2]Sheet1!J41,[2]Sheet1!J75,[2]Sheet1!J109)</f>
        <v>2320049.5271344036</v>
      </c>
      <c r="K3" s="8">
        <f>SUM([2]Sheet1!K7,[2]Sheet1!K41,[2]Sheet1!K75,[2]Sheet1!K109)</f>
        <v>2344311.0089102122</v>
      </c>
      <c r="L3" s="8">
        <f>SUM([2]Sheet1!L7,[2]Sheet1!L41,[2]Sheet1!L75,[2]Sheet1!L109)</f>
        <v>2387315.172413771</v>
      </c>
      <c r="M3" s="8">
        <f>SUM([2]Sheet1!M7,[2]Sheet1!M41,[2]Sheet1!M75,[2]Sheet1!M109)</f>
        <v>2463070.8530652933</v>
      </c>
      <c r="N3" s="8">
        <f>SUM([2]Sheet1!N7,[2]Sheet1!N41,[2]Sheet1!N75,[2]Sheet1!N109)</f>
        <v>2561964.5599117558</v>
      </c>
      <c r="O3" s="8">
        <f>SUM([2]Sheet1!O7,[2]Sheet1!O41,[2]Sheet1!O75,[2]Sheet1!O109)</f>
        <v>2667630.8647058471</v>
      </c>
      <c r="P3" s="8">
        <f>SUM([2]Sheet1!P7,[2]Sheet1!P41,[2]Sheet1!P75,[2]Sheet1!P109)</f>
        <v>2751216.0921220072</v>
      </c>
      <c r="Q3" s="8">
        <f>SUM([2]Sheet1!Q7,[2]Sheet1!Q41,[2]Sheet1!Q75,[2]Sheet1!Q109)</f>
        <v>2815988.9403248057</v>
      </c>
      <c r="R3" s="8">
        <f>SUM([2]Sheet1!R7,[2]Sheet1!R41,[2]Sheet1!R75,[2]Sheet1!R109)</f>
        <v>2860294.571644709</v>
      </c>
      <c r="S3" s="8">
        <f>SUM([2]Sheet1!S7,[2]Sheet1!S41,[2]Sheet1!S75,[2]Sheet1!S109)</f>
        <v>2888924.8204291668</v>
      </c>
      <c r="T3" s="8"/>
      <c r="U3" s="8"/>
      <c r="V3" s="8"/>
      <c r="W3" s="8"/>
      <c r="X3" s="8"/>
      <c r="Y3" s="8"/>
      <c r="Z3" s="8"/>
      <c r="AA3" s="8"/>
      <c r="AB3" s="8"/>
      <c r="AC3" s="8"/>
      <c r="AD3" s="8"/>
      <c r="AE3" s="8"/>
    </row>
    <row r="4" spans="1:31">
      <c r="B4" s="4" t="s">
        <v>461</v>
      </c>
      <c r="C4" s="4" t="s">
        <v>464</v>
      </c>
      <c r="D4" s="8">
        <f>SUM([2]Sheet1!D8,[2]Sheet1!D42,[2]Sheet1!D76,[2]Sheet1!D110)</f>
        <v>2644706.3713786211</v>
      </c>
      <c r="E4" s="8">
        <f>SUM([2]Sheet1!E8,[2]Sheet1!E42,[2]Sheet1!E76,[2]Sheet1!E110)</f>
        <v>2627413.1238008388</v>
      </c>
      <c r="F4" s="8">
        <f>SUM([2]Sheet1!F8,[2]Sheet1!F42,[2]Sheet1!F76,[2]Sheet1!F110)</f>
        <v>2600129.1513205883</v>
      </c>
      <c r="G4" s="8">
        <f>SUM([2]Sheet1!G8,[2]Sheet1!G42,[2]Sheet1!G76,[2]Sheet1!G110)</f>
        <v>2569707.4489742396</v>
      </c>
      <c r="H4" s="8">
        <f>SUM([2]Sheet1!H8,[2]Sheet1!H42,[2]Sheet1!H76,[2]Sheet1!H110)</f>
        <v>2537138.0284069767</v>
      </c>
      <c r="I4" s="8">
        <f>SUM([2]Sheet1!I8,[2]Sheet1!I42,[2]Sheet1!I76,[2]Sheet1!I110)</f>
        <v>2489918.5807916909</v>
      </c>
      <c r="J4" s="8">
        <f>SUM([2]Sheet1!J8,[2]Sheet1!J42,[2]Sheet1!J76,[2]Sheet1!J110)</f>
        <v>2436378.8484816272</v>
      </c>
      <c r="K4" s="8">
        <f>SUM([2]Sheet1!K8,[2]Sheet1!K42,[2]Sheet1!K76,[2]Sheet1!K110)</f>
        <v>2391383.9014847511</v>
      </c>
      <c r="L4" s="8">
        <f>SUM([2]Sheet1!L8,[2]Sheet1!L42,[2]Sheet1!L76,[2]Sheet1!L110)</f>
        <v>2356825.7450504326</v>
      </c>
      <c r="M4" s="8">
        <f>SUM([2]Sheet1!M8,[2]Sheet1!M42,[2]Sheet1!M76,[2]Sheet1!M110)</f>
        <v>2320133.9461123575</v>
      </c>
      <c r="N4" s="8">
        <f>SUM([2]Sheet1!N8,[2]Sheet1!N42,[2]Sheet1!N76,[2]Sheet1!N110)</f>
        <v>2299533.3290045904</v>
      </c>
      <c r="O4" s="8">
        <f>SUM([2]Sheet1!O8,[2]Sheet1!O42,[2]Sheet1!O76,[2]Sheet1!O110)</f>
        <v>2293085.5217066747</v>
      </c>
      <c r="P4" s="8">
        <f>SUM([2]Sheet1!P8,[2]Sheet1!P42,[2]Sheet1!P76,[2]Sheet1!P110)</f>
        <v>2317907.3337784777</v>
      </c>
      <c r="Q4" s="8">
        <f>SUM([2]Sheet1!Q8,[2]Sheet1!Q42,[2]Sheet1!Q76,[2]Sheet1!Q110)</f>
        <v>2363491.5172683401</v>
      </c>
      <c r="R4" s="8">
        <f>SUM([2]Sheet1!R8,[2]Sheet1!R42,[2]Sheet1!R76,[2]Sheet1!R110)</f>
        <v>2443105.5012677759</v>
      </c>
      <c r="S4" s="8">
        <f>SUM([2]Sheet1!S8,[2]Sheet1!S42,[2]Sheet1!S76,[2]Sheet1!S110)</f>
        <v>2547259.7489749729</v>
      </c>
      <c r="T4" s="8"/>
      <c r="U4" s="8"/>
      <c r="V4" s="8"/>
      <c r="W4" s="8"/>
      <c r="X4" s="8"/>
      <c r="Y4" s="8"/>
      <c r="Z4" s="8"/>
      <c r="AA4" s="8"/>
      <c r="AB4" s="8"/>
      <c r="AC4" s="8"/>
      <c r="AD4" s="8"/>
      <c r="AE4" s="8"/>
    </row>
    <row r="5" spans="1:31">
      <c r="B5" s="4" t="s">
        <v>461</v>
      </c>
      <c r="C5" s="4" t="s">
        <v>465</v>
      </c>
      <c r="D5" s="8">
        <f>SUM([2]Sheet1!D9,[2]Sheet1!D43,[2]Sheet1!D77,[2]Sheet1!D111)</f>
        <v>2520302.2649507183</v>
      </c>
      <c r="E5" s="8">
        <f>SUM([2]Sheet1!E9,[2]Sheet1!E43,[2]Sheet1!E77,[2]Sheet1!E111)</f>
        <v>2578643.9096090728</v>
      </c>
      <c r="F5" s="8">
        <f>SUM([2]Sheet1!F9,[2]Sheet1!F43,[2]Sheet1!F77,[2]Sheet1!F111)</f>
        <v>2626714.2079775617</v>
      </c>
      <c r="G5" s="8">
        <f>SUM([2]Sheet1!G9,[2]Sheet1!G43,[2]Sheet1!G77,[2]Sheet1!G111)</f>
        <v>2659148.5764635433</v>
      </c>
      <c r="H5" s="8">
        <f>SUM([2]Sheet1!H9,[2]Sheet1!H43,[2]Sheet1!H77,[2]Sheet1!H111)</f>
        <v>2662113.9952124576</v>
      </c>
      <c r="I5" s="8">
        <f>SUM([2]Sheet1!I9,[2]Sheet1!I43,[2]Sheet1!I77,[2]Sheet1!I111)</f>
        <v>2648575.0496015372</v>
      </c>
      <c r="J5" s="8">
        <f>SUM([2]Sheet1!J9,[2]Sheet1!J43,[2]Sheet1!J77,[2]Sheet1!J111)</f>
        <v>2620916.1811288791</v>
      </c>
      <c r="K5" s="8">
        <f>SUM([2]Sheet1!K9,[2]Sheet1!K43,[2]Sheet1!K77,[2]Sheet1!K111)</f>
        <v>2586017.46730982</v>
      </c>
      <c r="L5" s="8">
        <f>SUM([2]Sheet1!L9,[2]Sheet1!L43,[2]Sheet1!L77,[2]Sheet1!L111)</f>
        <v>2548931.6491507529</v>
      </c>
      <c r="M5" s="8">
        <f>SUM([2]Sheet1!M9,[2]Sheet1!M43,[2]Sheet1!M77,[2]Sheet1!M111)</f>
        <v>2511094.6131779528</v>
      </c>
      <c r="N5" s="8">
        <f>SUM([2]Sheet1!N9,[2]Sheet1!N43,[2]Sheet1!N77,[2]Sheet1!N111)</f>
        <v>2462275.0973497131</v>
      </c>
      <c r="O5" s="8">
        <f>SUM([2]Sheet1!O9,[2]Sheet1!O43,[2]Sheet1!O77,[2]Sheet1!O111)</f>
        <v>2409255.3952726889</v>
      </c>
      <c r="P5" s="8">
        <f>SUM([2]Sheet1!P9,[2]Sheet1!P43,[2]Sheet1!P77,[2]Sheet1!P111)</f>
        <v>2365330.5357868858</v>
      </c>
      <c r="Q5" s="8">
        <f>SUM([2]Sheet1!Q9,[2]Sheet1!Q43,[2]Sheet1!Q77,[2]Sheet1!Q111)</f>
        <v>2334090.5947119896</v>
      </c>
      <c r="R5" s="8">
        <f>SUM([2]Sheet1!R9,[2]Sheet1!R43,[2]Sheet1!R77,[2]Sheet1!R111)</f>
        <v>2302452.5545707764</v>
      </c>
      <c r="S5" s="8">
        <f>SUM([2]Sheet1!S9,[2]Sheet1!S43,[2]Sheet1!S77,[2]Sheet1!S111)</f>
        <v>2287717.3479764746</v>
      </c>
      <c r="T5" s="8"/>
      <c r="U5" s="8"/>
      <c r="V5" s="8"/>
      <c r="W5" s="8"/>
      <c r="X5" s="8"/>
      <c r="Y5" s="8"/>
      <c r="Z5" s="8"/>
      <c r="AA5" s="8"/>
      <c r="AB5" s="8"/>
      <c r="AC5" s="8"/>
      <c r="AD5" s="8"/>
      <c r="AE5" s="8"/>
    </row>
    <row r="6" spans="1:31">
      <c r="B6" s="4" t="s">
        <v>461</v>
      </c>
      <c r="C6" s="4" t="s">
        <v>466</v>
      </c>
      <c r="D6" s="8">
        <f>SUM([2]Sheet1!D10,[2]Sheet1!D44,[2]Sheet1!D78,[2]Sheet1!D112)</f>
        <v>2139226.4998723585</v>
      </c>
      <c r="E6" s="8">
        <f>SUM([2]Sheet1!E10,[2]Sheet1!E44,[2]Sheet1!E78,[2]Sheet1!E112)</f>
        <v>2237100.0878210124</v>
      </c>
      <c r="F6" s="8">
        <f>SUM([2]Sheet1!F10,[2]Sheet1!F44,[2]Sheet1!F78,[2]Sheet1!F112)</f>
        <v>2336213.1319817533</v>
      </c>
      <c r="G6" s="8">
        <f>SUM([2]Sheet1!G10,[2]Sheet1!G44,[2]Sheet1!G78,[2]Sheet1!G112)</f>
        <v>2421903.5505309235</v>
      </c>
      <c r="H6" s="8">
        <f>SUM([2]Sheet1!H10,[2]Sheet1!H44,[2]Sheet1!H78,[2]Sheet1!H112)</f>
        <v>2493798.3755482044</v>
      </c>
      <c r="I6" s="8">
        <f>SUM([2]Sheet1!I10,[2]Sheet1!I44,[2]Sheet1!I78,[2]Sheet1!I112)</f>
        <v>2550927.7694841018</v>
      </c>
      <c r="J6" s="8">
        <f>SUM([2]Sheet1!J10,[2]Sheet1!J44,[2]Sheet1!J78,[2]Sheet1!J112)</f>
        <v>2603531.3506938689</v>
      </c>
      <c r="K6" s="8">
        <f>SUM([2]Sheet1!K10,[2]Sheet1!K44,[2]Sheet1!K78,[2]Sheet1!K112)</f>
        <v>2647505.7927609538</v>
      </c>
      <c r="L6" s="8">
        <f>SUM([2]Sheet1!L10,[2]Sheet1!L44,[2]Sheet1!L78,[2]Sheet1!L112)</f>
        <v>2675993.2338640913</v>
      </c>
      <c r="M6" s="8">
        <f>SUM([2]Sheet1!M10,[2]Sheet1!M44,[2]Sheet1!M78,[2]Sheet1!M112)</f>
        <v>2676236.0209871251</v>
      </c>
      <c r="N6" s="8">
        <f>SUM([2]Sheet1!N10,[2]Sheet1!N44,[2]Sheet1!N78,[2]Sheet1!N112)</f>
        <v>2663334.0612222995</v>
      </c>
      <c r="O6" s="8">
        <f>SUM([2]Sheet1!O10,[2]Sheet1!O44,[2]Sheet1!O78,[2]Sheet1!O112)</f>
        <v>2638625.0314984289</v>
      </c>
      <c r="P6" s="8">
        <f>SUM([2]Sheet1!P10,[2]Sheet1!P44,[2]Sheet1!P78,[2]Sheet1!P112)</f>
        <v>2607210.1034408649</v>
      </c>
      <c r="Q6" s="8">
        <f>SUM([2]Sheet1!Q10,[2]Sheet1!Q44,[2]Sheet1!Q78,[2]Sheet1!Q112)</f>
        <v>2575713.6433947068</v>
      </c>
      <c r="R6" s="8">
        <f>SUM([2]Sheet1!R10,[2]Sheet1!R44,[2]Sheet1!R78,[2]Sheet1!R112)</f>
        <v>2544954.7948525343</v>
      </c>
      <c r="S6" s="8">
        <f>SUM([2]Sheet1!S10,[2]Sheet1!S44,[2]Sheet1!S78,[2]Sheet1!S112)</f>
        <v>2504333.5900054434</v>
      </c>
      <c r="T6" s="8"/>
      <c r="U6" s="8"/>
      <c r="V6" s="8"/>
      <c r="W6" s="8"/>
      <c r="X6" s="8"/>
      <c r="Y6" s="8"/>
      <c r="Z6" s="8"/>
      <c r="AA6" s="8"/>
      <c r="AB6" s="8"/>
      <c r="AC6" s="8"/>
      <c r="AD6" s="8"/>
      <c r="AE6" s="8"/>
    </row>
    <row r="7" spans="1:31">
      <c r="B7" s="4" t="s">
        <v>461</v>
      </c>
      <c r="C7" s="4" t="s">
        <v>467</v>
      </c>
      <c r="D7" s="8">
        <f>SUM([2]Sheet1!D11,[2]Sheet1!D45,[2]Sheet1!D79,[2]Sheet1!D113)</f>
        <v>1911823.4719063109</v>
      </c>
      <c r="E7" s="8">
        <f>SUM([2]Sheet1!E11,[2]Sheet1!E45,[2]Sheet1!E79,[2]Sheet1!E113)</f>
        <v>1933000.6591651281</v>
      </c>
      <c r="F7" s="8">
        <f>SUM([2]Sheet1!F11,[2]Sheet1!F45,[2]Sheet1!F79,[2]Sheet1!F113)</f>
        <v>1959689.7533296479</v>
      </c>
      <c r="G7" s="8">
        <f>SUM([2]Sheet1!G11,[2]Sheet1!G45,[2]Sheet1!G79,[2]Sheet1!G113)</f>
        <v>2005165.2932317827</v>
      </c>
      <c r="H7" s="8">
        <f>SUM([2]Sheet1!H11,[2]Sheet1!H45,[2]Sheet1!H79,[2]Sheet1!H113)</f>
        <v>2083197.2006844014</v>
      </c>
      <c r="I7" s="8">
        <f>SUM([2]Sheet1!I11,[2]Sheet1!I45,[2]Sheet1!I79,[2]Sheet1!I113)</f>
        <v>2176475.0223029526</v>
      </c>
      <c r="J7" s="8">
        <f>SUM([2]Sheet1!J11,[2]Sheet1!J45,[2]Sheet1!J79,[2]Sheet1!J113)</f>
        <v>2276176.6188803492</v>
      </c>
      <c r="K7" s="8">
        <f>SUM([2]Sheet1!K11,[2]Sheet1!K45,[2]Sheet1!K79,[2]Sheet1!K113)</f>
        <v>2376368.0106561426</v>
      </c>
      <c r="L7" s="8">
        <f>SUM([2]Sheet1!L11,[2]Sheet1!L45,[2]Sheet1!L79,[2]Sheet1!L113)</f>
        <v>2462761.1845392389</v>
      </c>
      <c r="M7" s="8">
        <f>SUM([2]Sheet1!M11,[2]Sheet1!M45,[2]Sheet1!M79,[2]Sheet1!M113)</f>
        <v>2536137.9586244677</v>
      </c>
      <c r="N7" s="8">
        <f>SUM([2]Sheet1!N11,[2]Sheet1!N45,[2]Sheet1!N79,[2]Sheet1!N113)</f>
        <v>2597156.9569996092</v>
      </c>
      <c r="O7" s="8">
        <f>SUM([2]Sheet1!O11,[2]Sheet1!O45,[2]Sheet1!O79,[2]Sheet1!O113)</f>
        <v>2655186.4618563633</v>
      </c>
      <c r="P7" s="8">
        <f>SUM([2]Sheet1!P11,[2]Sheet1!P45,[2]Sheet1!P79,[2]Sheet1!P113)</f>
        <v>2704802.5767264795</v>
      </c>
      <c r="Q7" s="8">
        <f>SUM([2]Sheet1!Q11,[2]Sheet1!Q45,[2]Sheet1!Q79,[2]Sheet1!Q113)</f>
        <v>2741254.0315982052</v>
      </c>
      <c r="R7" s="8">
        <f>SUM([2]Sheet1!R11,[2]Sheet1!R45,[2]Sheet1!R79,[2]Sheet1!R113)</f>
        <v>2752096.2186051058</v>
      </c>
      <c r="S7" s="8">
        <f>SUM([2]Sheet1!S11,[2]Sheet1!S45,[2]Sheet1!S79,[2]Sheet1!S113)</f>
        <v>2751292.8489637831</v>
      </c>
      <c r="T7" s="8"/>
      <c r="U7" s="8"/>
      <c r="V7" s="8"/>
      <c r="W7" s="8"/>
      <c r="X7" s="8"/>
      <c r="Y7" s="8"/>
      <c r="Z7" s="8"/>
      <c r="AA7" s="8"/>
      <c r="AB7" s="8"/>
      <c r="AC7" s="8"/>
      <c r="AD7" s="8"/>
      <c r="AE7" s="8"/>
    </row>
    <row r="8" spans="1:31">
      <c r="B8" s="4" t="s">
        <v>461</v>
      </c>
      <c r="C8" s="4" t="s">
        <v>468</v>
      </c>
      <c r="D8" s="8">
        <f>SUM([2]Sheet1!D12,[2]Sheet1!D46,[2]Sheet1!D80,[2]Sheet1!D114)</f>
        <v>1653732.8319631496</v>
      </c>
      <c r="E8" s="8">
        <f>SUM([2]Sheet1!E12,[2]Sheet1!E46,[2]Sheet1!E80,[2]Sheet1!E114)</f>
        <v>1716650.7033458415</v>
      </c>
      <c r="F8" s="8">
        <f>SUM([2]Sheet1!F12,[2]Sheet1!F46,[2]Sheet1!F80,[2]Sheet1!F114)</f>
        <v>1770963.6069462765</v>
      </c>
      <c r="G8" s="8">
        <f>SUM([2]Sheet1!G12,[2]Sheet1!G46,[2]Sheet1!G80,[2]Sheet1!G114)</f>
        <v>1819332.2828332386</v>
      </c>
      <c r="H8" s="8">
        <f>SUM([2]Sheet1!H12,[2]Sheet1!H46,[2]Sheet1!H80,[2]Sheet1!H114)</f>
        <v>1851042.2338490284</v>
      </c>
      <c r="I8" s="8">
        <f>SUM([2]Sheet1!I12,[2]Sheet1!I46,[2]Sheet1!I80,[2]Sheet1!I114)</f>
        <v>1874249.5671767336</v>
      </c>
      <c r="J8" s="8">
        <f>SUM([2]Sheet1!J12,[2]Sheet1!J46,[2]Sheet1!J80,[2]Sheet1!J114)</f>
        <v>1900679.4079160802</v>
      </c>
      <c r="K8" s="8">
        <f>SUM([2]Sheet1!K12,[2]Sheet1!K46,[2]Sheet1!K80,[2]Sheet1!K114)</f>
        <v>1934726.8962213343</v>
      </c>
      <c r="L8" s="8">
        <f>SUM([2]Sheet1!L12,[2]Sheet1!L46,[2]Sheet1!L80,[2]Sheet1!L114)</f>
        <v>1987808.4123348435</v>
      </c>
      <c r="M8" s="8">
        <f>SUM([2]Sheet1!M12,[2]Sheet1!M46,[2]Sheet1!M80,[2]Sheet1!M114)</f>
        <v>2072798.4034380994</v>
      </c>
      <c r="N8" s="8">
        <f>SUM([2]Sheet1!N12,[2]Sheet1!N46,[2]Sheet1!N80,[2]Sheet1!N114)</f>
        <v>2172623.3656895957</v>
      </c>
      <c r="O8" s="8">
        <f>SUM([2]Sheet1!O12,[2]Sheet1!O46,[2]Sheet1!O80,[2]Sheet1!O114)</f>
        <v>2278744.0749280108</v>
      </c>
      <c r="P8" s="8">
        <f>SUM([2]Sheet1!P12,[2]Sheet1!P46,[2]Sheet1!P80,[2]Sheet1!P114)</f>
        <v>2385369.0355849899</v>
      </c>
      <c r="Q8" s="8">
        <f>SUM([2]Sheet1!Q12,[2]Sheet1!Q46,[2]Sheet1!Q80,[2]Sheet1!Q114)</f>
        <v>2479554.3287178334</v>
      </c>
      <c r="R8" s="8">
        <f>SUM([2]Sheet1!R12,[2]Sheet1!R46,[2]Sheet1!R80,[2]Sheet1!R114)</f>
        <v>2562619.3937079408</v>
      </c>
      <c r="S8" s="8">
        <f>SUM([2]Sheet1!S12,[2]Sheet1!S46,[2]Sheet1!S80,[2]Sheet1!S114)</f>
        <v>2635256.503575874</v>
      </c>
      <c r="T8" s="8"/>
      <c r="U8" s="8"/>
      <c r="V8" s="8"/>
      <c r="W8" s="8"/>
      <c r="X8" s="8"/>
      <c r="Y8" s="8"/>
      <c r="Z8" s="8"/>
      <c r="AA8" s="8"/>
      <c r="AB8" s="8"/>
      <c r="AC8" s="8"/>
      <c r="AD8" s="8"/>
      <c r="AE8" s="8"/>
    </row>
    <row r="9" spans="1:31">
      <c r="B9" s="4" t="s">
        <v>461</v>
      </c>
      <c r="C9" s="4" t="s">
        <v>469</v>
      </c>
      <c r="D9" s="8">
        <f>SUM([2]Sheet1!D13,[2]Sheet1!D47,[2]Sheet1!D81,[2]Sheet1!D115)</f>
        <v>1414373.0044965709</v>
      </c>
      <c r="E9" s="8">
        <f>SUM([2]Sheet1!E13,[2]Sheet1!E47,[2]Sheet1!E81,[2]Sheet1!E115)</f>
        <v>1420869.2072946504</v>
      </c>
      <c r="F9" s="8">
        <f>SUM([2]Sheet1!F13,[2]Sheet1!F47,[2]Sheet1!F81,[2]Sheet1!F115)</f>
        <v>1431903.9888607357</v>
      </c>
      <c r="G9" s="8">
        <f>SUM([2]Sheet1!G13,[2]Sheet1!G47,[2]Sheet1!G81,[2]Sheet1!G115)</f>
        <v>1452433.2463546959</v>
      </c>
      <c r="H9" s="8">
        <f>SUM([2]Sheet1!H13,[2]Sheet1!H47,[2]Sheet1!H81,[2]Sheet1!H115)</f>
        <v>1491473.1043499697</v>
      </c>
      <c r="I9" s="8">
        <f>SUM([2]Sheet1!I13,[2]Sheet1!I47,[2]Sheet1!I81,[2]Sheet1!I115)</f>
        <v>1546519.7175218647</v>
      </c>
      <c r="J9" s="8">
        <f>SUM([2]Sheet1!J13,[2]Sheet1!J47,[2]Sheet1!J81,[2]Sheet1!J115)</f>
        <v>1604720.7955164511</v>
      </c>
      <c r="K9" s="8">
        <f>SUM([2]Sheet1!K13,[2]Sheet1!K47,[2]Sheet1!K81,[2]Sheet1!K115)</f>
        <v>1659282.8079045014</v>
      </c>
      <c r="L9" s="8">
        <f>SUM([2]Sheet1!L13,[2]Sheet1!L47,[2]Sheet1!L81,[2]Sheet1!L115)</f>
        <v>1713707.1156736603</v>
      </c>
      <c r="M9" s="8">
        <f>SUM([2]Sheet1!M13,[2]Sheet1!M47,[2]Sheet1!M81,[2]Sheet1!M115)</f>
        <v>1757109.7869231149</v>
      </c>
      <c r="N9" s="8">
        <f>SUM([2]Sheet1!N13,[2]Sheet1!N47,[2]Sheet1!N81,[2]Sheet1!N115)</f>
        <v>1794001.2462062663</v>
      </c>
      <c r="O9" s="8">
        <f>SUM([2]Sheet1!O13,[2]Sheet1!O47,[2]Sheet1!O81,[2]Sheet1!O115)</f>
        <v>1833509.1229587761</v>
      </c>
      <c r="P9" s="8">
        <f>SUM([2]Sheet1!P13,[2]Sheet1!P47,[2]Sheet1!P81,[2]Sheet1!P115)</f>
        <v>1878935.6546512195</v>
      </c>
      <c r="Q9" s="8">
        <f>SUM([2]Sheet1!Q13,[2]Sheet1!Q47,[2]Sheet1!Q81,[2]Sheet1!Q115)</f>
        <v>1941216.8112788366</v>
      </c>
      <c r="R9" s="8">
        <f>SUM([2]Sheet1!R13,[2]Sheet1!R47,[2]Sheet1!R81,[2]Sheet1!R115)</f>
        <v>2034400.3470311831</v>
      </c>
      <c r="S9" s="8">
        <f>SUM([2]Sheet1!S13,[2]Sheet1!S47,[2]Sheet1!S81,[2]Sheet1!S115)</f>
        <v>2142779.8164657601</v>
      </c>
      <c r="T9" s="8"/>
      <c r="U9" s="8"/>
      <c r="V9" s="8"/>
      <c r="W9" s="8"/>
      <c r="X9" s="8"/>
      <c r="Y9" s="8"/>
      <c r="Z9" s="8"/>
      <c r="AA9" s="8"/>
      <c r="AB9" s="8"/>
      <c r="AC9" s="8"/>
      <c r="AD9" s="8"/>
      <c r="AE9" s="8"/>
    </row>
    <row r="10" spans="1:31">
      <c r="B10" s="4" t="s">
        <v>461</v>
      </c>
      <c r="C10" s="4" t="s">
        <v>470</v>
      </c>
      <c r="D10" s="8">
        <f>SUM([2]Sheet1!D14,[2]Sheet1!D48,[2]Sheet1!D82,[2]Sheet1!D116)</f>
        <v>1240313.9526767186</v>
      </c>
      <c r="E10" s="8">
        <f>SUM([2]Sheet1!E14,[2]Sheet1!E48,[2]Sheet1!E82,[2]Sheet1!E116)</f>
        <v>1259516.7114286968</v>
      </c>
      <c r="F10" s="8">
        <f>SUM([2]Sheet1!F14,[2]Sheet1!F48,[2]Sheet1!F82,[2]Sheet1!F116)</f>
        <v>1273228.2464257113</v>
      </c>
      <c r="G10" s="8">
        <f>SUM([2]Sheet1!G14,[2]Sheet1!G48,[2]Sheet1!G82,[2]Sheet1!G116)</f>
        <v>1281361.3173492253</v>
      </c>
      <c r="H10" s="8">
        <f>SUM([2]Sheet1!H14,[2]Sheet1!H48,[2]Sheet1!H82,[2]Sheet1!H116)</f>
        <v>1283615.2585819953</v>
      </c>
      <c r="I10" s="8">
        <f>SUM([2]Sheet1!I14,[2]Sheet1!I48,[2]Sheet1!I82,[2]Sheet1!I116)</f>
        <v>1284655.5730017079</v>
      </c>
      <c r="J10" s="8">
        <f>SUM([2]Sheet1!J14,[2]Sheet1!J48,[2]Sheet1!J82,[2]Sheet1!J116)</f>
        <v>1289852.6277747478</v>
      </c>
      <c r="K10" s="8">
        <f>SUM([2]Sheet1!K14,[2]Sheet1!K48,[2]Sheet1!K82,[2]Sheet1!K116)</f>
        <v>1303083.4543068651</v>
      </c>
      <c r="L10" s="8">
        <f>SUM([2]Sheet1!L14,[2]Sheet1!L48,[2]Sheet1!L82,[2]Sheet1!L116)</f>
        <v>1329369.6342132085</v>
      </c>
      <c r="M10" s="8">
        <f>SUM([2]Sheet1!M14,[2]Sheet1!M48,[2]Sheet1!M82,[2]Sheet1!M116)</f>
        <v>1375987.7126456029</v>
      </c>
      <c r="N10" s="8">
        <f>SUM([2]Sheet1!N14,[2]Sheet1!N48,[2]Sheet1!N82,[2]Sheet1!N116)</f>
        <v>1438407.0719817255</v>
      </c>
      <c r="O10" s="8">
        <f>SUM([2]Sheet1!O14,[2]Sheet1!O48,[2]Sheet1!O82,[2]Sheet1!O116)</f>
        <v>1504598.5596316843</v>
      </c>
      <c r="P10" s="8">
        <f>SUM([2]Sheet1!P14,[2]Sheet1!P48,[2]Sheet1!P82,[2]Sheet1!P116)</f>
        <v>1567811.7179421098</v>
      </c>
      <c r="Q10" s="8">
        <f>SUM([2]Sheet1!Q14,[2]Sheet1!Q48,[2]Sheet1!Q82,[2]Sheet1!Q116)</f>
        <v>1629153.7237748303</v>
      </c>
      <c r="R10" s="8">
        <f>SUM([2]Sheet1!R14,[2]Sheet1!R48,[2]Sheet1!R82,[2]Sheet1!R116)</f>
        <v>1680008.2595614642</v>
      </c>
      <c r="S10" s="8">
        <f>SUM([2]Sheet1!S14,[2]Sheet1!S48,[2]Sheet1!S82,[2]Sheet1!S116)</f>
        <v>1725088.5749223563</v>
      </c>
      <c r="T10" s="8"/>
      <c r="U10" s="8"/>
      <c r="V10" s="8"/>
      <c r="W10" s="8"/>
      <c r="X10" s="8"/>
      <c r="Y10" s="8"/>
      <c r="Z10" s="8"/>
      <c r="AA10" s="8"/>
      <c r="AB10" s="8"/>
      <c r="AC10" s="8"/>
      <c r="AD10" s="8"/>
      <c r="AE10" s="8"/>
    </row>
    <row r="11" spans="1:31">
      <c r="B11" s="4" t="s">
        <v>461</v>
      </c>
      <c r="C11" s="4" t="s">
        <v>471</v>
      </c>
      <c r="D11" s="8">
        <f>SUM([2]Sheet1!D15,[2]Sheet1!D49,[2]Sheet1!D83,[2]Sheet1!D117)</f>
        <v>1034210.474130645</v>
      </c>
      <c r="E11" s="8">
        <f>SUM([2]Sheet1!E15,[2]Sheet1!E49,[2]Sheet1!E83,[2]Sheet1!E117)</f>
        <v>1053527.3239776583</v>
      </c>
      <c r="F11" s="8">
        <f>SUM([2]Sheet1!F15,[2]Sheet1!F49,[2]Sheet1!F83,[2]Sheet1!F117)</f>
        <v>1070185.7908790116</v>
      </c>
      <c r="G11" s="8">
        <f>SUM([2]Sheet1!G15,[2]Sheet1!G49,[2]Sheet1!G83,[2]Sheet1!G117)</f>
        <v>1085517.2708467168</v>
      </c>
      <c r="H11" s="8">
        <f>SUM([2]Sheet1!H15,[2]Sheet1!H49,[2]Sheet1!H83,[2]Sheet1!H117)</f>
        <v>1100598.0061934222</v>
      </c>
      <c r="I11" s="8">
        <f>SUM([2]Sheet1!I15,[2]Sheet1!I49,[2]Sheet1!I83,[2]Sheet1!I117)</f>
        <v>1116287.4734781992</v>
      </c>
      <c r="J11" s="8">
        <f>SUM([2]Sheet1!J15,[2]Sheet1!J49,[2]Sheet1!J83,[2]Sheet1!J117)</f>
        <v>1130975.0504669102</v>
      </c>
      <c r="K11" s="8">
        <f>SUM([2]Sheet1!K15,[2]Sheet1!K49,[2]Sheet1!K83,[2]Sheet1!K117)</f>
        <v>1144206.5526946674</v>
      </c>
      <c r="L11" s="8">
        <f>SUM([2]Sheet1!L15,[2]Sheet1!L49,[2]Sheet1!L83,[2]Sheet1!L117)</f>
        <v>1156280.2996445468</v>
      </c>
      <c r="M11" s="8">
        <f>SUM([2]Sheet1!M15,[2]Sheet1!M49,[2]Sheet1!M83,[2]Sheet1!M117)</f>
        <v>1166459.7196919955</v>
      </c>
      <c r="N11" s="8">
        <f>SUM([2]Sheet1!N15,[2]Sheet1!N49,[2]Sheet1!N83,[2]Sheet1!N117)</f>
        <v>1176172.6926462096</v>
      </c>
      <c r="O11" s="8">
        <f>SUM([2]Sheet1!O15,[2]Sheet1!O49,[2]Sheet1!O83,[2]Sheet1!O117)</f>
        <v>1189887.2034546123</v>
      </c>
      <c r="P11" s="8">
        <f>SUM([2]Sheet1!P15,[2]Sheet1!P49,[2]Sheet1!P83,[2]Sheet1!P117)</f>
        <v>1210780.7448623686</v>
      </c>
      <c r="Q11" s="8">
        <f>SUM([2]Sheet1!Q15,[2]Sheet1!Q49,[2]Sheet1!Q83,[2]Sheet1!Q117)</f>
        <v>1242088.1491068662</v>
      </c>
      <c r="R11" s="8">
        <f>SUM([2]Sheet1!R15,[2]Sheet1!R49,[2]Sheet1!R83,[2]Sheet1!R117)</f>
        <v>1291445.9617650248</v>
      </c>
      <c r="S11" s="8">
        <f>SUM([2]Sheet1!S15,[2]Sheet1!S49,[2]Sheet1!S83,[2]Sheet1!S117)</f>
        <v>1355592.2856924308</v>
      </c>
      <c r="T11" s="8"/>
      <c r="U11" s="8"/>
      <c r="V11" s="8"/>
      <c r="W11" s="8"/>
      <c r="X11" s="8"/>
      <c r="Y11" s="8"/>
      <c r="Z11" s="8"/>
      <c r="AA11" s="8"/>
      <c r="AB11" s="8"/>
      <c r="AC11" s="8"/>
      <c r="AD11" s="8"/>
      <c r="AE11" s="8"/>
    </row>
    <row r="12" spans="1:31">
      <c r="B12" s="4" t="s">
        <v>461</v>
      </c>
      <c r="C12" s="4" t="s">
        <v>472</v>
      </c>
      <c r="D12" s="8">
        <f>SUM([2]Sheet1!D16,[2]Sheet1!D50,[2]Sheet1!D84,[2]Sheet1!D118)</f>
        <v>814752.50266034598</v>
      </c>
      <c r="E12" s="8">
        <f>SUM([2]Sheet1!E16,[2]Sheet1!E50,[2]Sheet1!E84,[2]Sheet1!E118)</f>
        <v>840532.35219451971</v>
      </c>
      <c r="F12" s="8">
        <f>SUM([2]Sheet1!F16,[2]Sheet1!F50,[2]Sheet1!F84,[2]Sheet1!F118)</f>
        <v>863703.01522529975</v>
      </c>
      <c r="G12" s="8">
        <f>SUM([2]Sheet1!G16,[2]Sheet1!G50,[2]Sheet1!G84,[2]Sheet1!G118)</f>
        <v>883757.98864610691</v>
      </c>
      <c r="H12" s="8">
        <f>SUM([2]Sheet1!H16,[2]Sheet1!H50,[2]Sheet1!H84,[2]Sheet1!H118)</f>
        <v>900547.68451594841</v>
      </c>
      <c r="I12" s="8">
        <f>SUM([2]Sheet1!I16,[2]Sheet1!I50,[2]Sheet1!I84,[2]Sheet1!I118)</f>
        <v>915632.36087067588</v>
      </c>
      <c r="J12" s="8">
        <f>SUM([2]Sheet1!J16,[2]Sheet1!J50,[2]Sheet1!J84,[2]Sheet1!J118)</f>
        <v>930931.59841727384</v>
      </c>
      <c r="K12" s="8">
        <f>SUM([2]Sheet1!K16,[2]Sheet1!K50,[2]Sheet1!K84,[2]Sheet1!K118)</f>
        <v>946787.92433152068</v>
      </c>
      <c r="L12" s="8">
        <f>SUM([2]Sheet1!L16,[2]Sheet1!L50,[2]Sheet1!L84,[2]Sheet1!L118)</f>
        <v>964316.371556959</v>
      </c>
      <c r="M12" s="8">
        <f>SUM([2]Sheet1!M16,[2]Sheet1!M50,[2]Sheet1!M84,[2]Sheet1!M118)</f>
        <v>983945.29185842723</v>
      </c>
      <c r="N12" s="8">
        <f>SUM([2]Sheet1!N16,[2]Sheet1!N50,[2]Sheet1!N84,[2]Sheet1!N118)</f>
        <v>1004369.1540318729</v>
      </c>
      <c r="O12" s="8">
        <f>SUM([2]Sheet1!O16,[2]Sheet1!O50,[2]Sheet1!O84,[2]Sheet1!O118)</f>
        <v>1023548.6695208066</v>
      </c>
      <c r="P12" s="8">
        <f>SUM([2]Sheet1!P16,[2]Sheet1!P50,[2]Sheet1!P84,[2]Sheet1!P118)</f>
        <v>1041512.7087564993</v>
      </c>
      <c r="Q12" s="8">
        <f>SUM([2]Sheet1!Q16,[2]Sheet1!Q50,[2]Sheet1!Q84,[2]Sheet1!Q118)</f>
        <v>1057616.5442318977</v>
      </c>
      <c r="R12" s="8">
        <f>SUM([2]Sheet1!R16,[2]Sheet1!R50,[2]Sheet1!R84,[2]Sheet1!R118)</f>
        <v>1071527.0437071801</v>
      </c>
      <c r="S12" s="8">
        <f>SUM([2]Sheet1!S16,[2]Sheet1!S50,[2]Sheet1!S84,[2]Sheet1!S118)</f>
        <v>1085068.4313495818</v>
      </c>
      <c r="T12" s="8"/>
      <c r="U12" s="8"/>
      <c r="V12" s="8"/>
      <c r="W12" s="8"/>
      <c r="X12" s="8"/>
      <c r="Y12" s="8"/>
      <c r="Z12" s="8"/>
      <c r="AA12" s="8"/>
      <c r="AB12" s="8"/>
      <c r="AC12" s="8"/>
      <c r="AD12" s="8"/>
      <c r="AE12" s="8"/>
    </row>
    <row r="13" spans="1:31">
      <c r="B13" s="4" t="s">
        <v>461</v>
      </c>
      <c r="C13" s="4" t="s">
        <v>473</v>
      </c>
      <c r="D13" s="8">
        <f>SUM([2]Sheet1!D17,[2]Sheet1!D51,[2]Sheet1!D85,[2]Sheet1!D119)</f>
        <v>607102.76829578751</v>
      </c>
      <c r="E13" s="8">
        <f>SUM([2]Sheet1!E17,[2]Sheet1!E51,[2]Sheet1!E85,[2]Sheet1!E119)</f>
        <v>627727.5286117387</v>
      </c>
      <c r="F13" s="8">
        <f>SUM([2]Sheet1!F17,[2]Sheet1!F51,[2]Sheet1!F85,[2]Sheet1!F119)</f>
        <v>649083.56812729861</v>
      </c>
      <c r="G13" s="8">
        <f>SUM([2]Sheet1!G17,[2]Sheet1!G51,[2]Sheet1!G85,[2]Sheet1!G119)</f>
        <v>670677.90028681094</v>
      </c>
      <c r="H13" s="8">
        <f>SUM([2]Sheet1!H17,[2]Sheet1!H51,[2]Sheet1!H85,[2]Sheet1!H119)</f>
        <v>692475.68900708877</v>
      </c>
      <c r="I13" s="8">
        <f>SUM([2]Sheet1!I17,[2]Sheet1!I51,[2]Sheet1!I85,[2]Sheet1!I119)</f>
        <v>714689.06103030406</v>
      </c>
      <c r="J13" s="8">
        <f>SUM([2]Sheet1!J17,[2]Sheet1!J51,[2]Sheet1!J85,[2]Sheet1!J119)</f>
        <v>735419.66945885459</v>
      </c>
      <c r="K13" s="8">
        <f>SUM([2]Sheet1!K17,[2]Sheet1!K51,[2]Sheet1!K85,[2]Sheet1!K119)</f>
        <v>755623.23604148231</v>
      </c>
      <c r="L13" s="8">
        <f>SUM([2]Sheet1!L17,[2]Sheet1!L51,[2]Sheet1!L85,[2]Sheet1!L119)</f>
        <v>774975.4623960692</v>
      </c>
      <c r="M13" s="8">
        <f>SUM([2]Sheet1!M17,[2]Sheet1!M51,[2]Sheet1!M85,[2]Sheet1!M119)</f>
        <v>793115.16929893917</v>
      </c>
      <c r="N13" s="8">
        <f>SUM([2]Sheet1!N17,[2]Sheet1!N51,[2]Sheet1!N85,[2]Sheet1!N119)</f>
        <v>810119.69922582153</v>
      </c>
      <c r="O13" s="8">
        <f>SUM([2]Sheet1!O17,[2]Sheet1!O51,[2]Sheet1!O85,[2]Sheet1!O119)</f>
        <v>827259.60804414679</v>
      </c>
      <c r="P13" s="8">
        <f>SUM([2]Sheet1!P17,[2]Sheet1!P51,[2]Sheet1!P85,[2]Sheet1!P119)</f>
        <v>844872.12362755986</v>
      </c>
      <c r="Q13" s="8">
        <f>SUM([2]Sheet1!Q17,[2]Sheet1!Q51,[2]Sheet1!Q85,[2]Sheet1!Q119)</f>
        <v>863646.05529109412</v>
      </c>
      <c r="R13" s="8">
        <f>SUM([2]Sheet1!R17,[2]Sheet1!R51,[2]Sheet1!R85,[2]Sheet1!R119)</f>
        <v>884201.72648653307</v>
      </c>
      <c r="S13" s="8">
        <f>SUM([2]Sheet1!S17,[2]Sheet1!S51,[2]Sheet1!S85,[2]Sheet1!S119)</f>
        <v>905701.29966687993</v>
      </c>
      <c r="T13" s="8"/>
      <c r="U13" s="8"/>
      <c r="V13" s="8"/>
      <c r="W13" s="8"/>
      <c r="X13" s="8"/>
      <c r="Y13" s="8"/>
      <c r="Z13" s="8"/>
      <c r="AA13" s="8"/>
      <c r="AB13" s="8"/>
      <c r="AC13" s="8"/>
      <c r="AD13" s="8"/>
      <c r="AE13" s="8"/>
    </row>
    <row r="14" spans="1:31">
      <c r="B14" s="4" t="s">
        <v>461</v>
      </c>
      <c r="C14" s="4" t="s">
        <v>474</v>
      </c>
      <c r="D14" s="8">
        <f>SUM([2]Sheet1!D18,[2]Sheet1!D52,[2]Sheet1!D86,[2]Sheet1!D120)</f>
        <v>470381.2524254251</v>
      </c>
      <c r="E14" s="8">
        <f>SUM([2]Sheet1!E18,[2]Sheet1!E52,[2]Sheet1!E86,[2]Sheet1!E120)</f>
        <v>475946.82618020271</v>
      </c>
      <c r="F14" s="8">
        <f>SUM([2]Sheet1!F18,[2]Sheet1!F52,[2]Sheet1!F86,[2]Sheet1!F120)</f>
        <v>482482.05111586326</v>
      </c>
      <c r="G14" s="8">
        <f>SUM([2]Sheet1!G18,[2]Sheet1!G52,[2]Sheet1!G86,[2]Sheet1!G120)</f>
        <v>491358.57001219696</v>
      </c>
      <c r="H14" s="8">
        <f>SUM([2]Sheet1!H18,[2]Sheet1!H52,[2]Sheet1!H86,[2]Sheet1!H120)</f>
        <v>502722.73685002368</v>
      </c>
      <c r="I14" s="8">
        <f>SUM([2]Sheet1!I18,[2]Sheet1!I52,[2]Sheet1!I86,[2]Sheet1!I120)</f>
        <v>515901.52955487208</v>
      </c>
      <c r="J14" s="8">
        <f>SUM([2]Sheet1!J18,[2]Sheet1!J52,[2]Sheet1!J86,[2]Sheet1!J120)</f>
        <v>532613.10446075606</v>
      </c>
      <c r="K14" s="8">
        <f>SUM([2]Sheet1!K18,[2]Sheet1!K52,[2]Sheet1!K86,[2]Sheet1!K120)</f>
        <v>550755.62211782532</v>
      </c>
      <c r="L14" s="8">
        <f>SUM([2]Sheet1!L18,[2]Sheet1!L52,[2]Sheet1!L86,[2]Sheet1!L120)</f>
        <v>569910.38640425773</v>
      </c>
      <c r="M14" s="8">
        <f>SUM([2]Sheet1!M18,[2]Sheet1!M52,[2]Sheet1!M86,[2]Sheet1!M120)</f>
        <v>589940.67807867995</v>
      </c>
      <c r="N14" s="8">
        <f>SUM([2]Sheet1!N18,[2]Sheet1!N52,[2]Sheet1!N86,[2]Sheet1!N120)</f>
        <v>610641.01699351449</v>
      </c>
      <c r="O14" s="8">
        <f>SUM([2]Sheet1!O18,[2]Sheet1!O52,[2]Sheet1!O86,[2]Sheet1!O120)</f>
        <v>630220.9090150866</v>
      </c>
      <c r="P14" s="8">
        <f>SUM([2]Sheet1!P18,[2]Sheet1!P52,[2]Sheet1!P86,[2]Sheet1!P120)</f>
        <v>649411.63698208635</v>
      </c>
      <c r="Q14" s="8">
        <f>SUM([2]Sheet1!Q18,[2]Sheet1!Q52,[2]Sheet1!Q86,[2]Sheet1!Q120)</f>
        <v>667922.34408631455</v>
      </c>
      <c r="R14" s="8">
        <f>SUM([2]Sheet1!R18,[2]Sheet1!R52,[2]Sheet1!R86,[2]Sheet1!R120)</f>
        <v>685621.04131957493</v>
      </c>
      <c r="S14" s="8">
        <f>SUM([2]Sheet1!S18,[2]Sheet1!S52,[2]Sheet1!S86,[2]Sheet1!S120)</f>
        <v>702659.76811327343</v>
      </c>
      <c r="T14" s="8"/>
      <c r="U14" s="8"/>
      <c r="V14" s="8"/>
      <c r="W14" s="8"/>
      <c r="X14" s="8"/>
      <c r="Y14" s="8"/>
      <c r="Z14" s="8"/>
      <c r="AA14" s="8"/>
      <c r="AB14" s="8"/>
      <c r="AC14" s="8"/>
      <c r="AD14" s="8"/>
      <c r="AE14" s="8"/>
    </row>
    <row r="15" spans="1:31">
      <c r="B15" s="4" t="s">
        <v>461</v>
      </c>
      <c r="C15" s="4" t="s">
        <v>475</v>
      </c>
      <c r="D15" s="8">
        <f>SUM([2]Sheet1!D19,[2]Sheet1!D53,[2]Sheet1!D87,[2]Sheet1!D121)</f>
        <v>331636.75965279166</v>
      </c>
      <c r="E15" s="8">
        <f>SUM([2]Sheet1!E19,[2]Sheet1!E53,[2]Sheet1!E87,[2]Sheet1!E121)</f>
        <v>342334.90280453808</v>
      </c>
      <c r="F15" s="8">
        <f>SUM([2]Sheet1!F19,[2]Sheet1!F53,[2]Sheet1!F87,[2]Sheet1!F121)</f>
        <v>353657.41226394172</v>
      </c>
      <c r="G15" s="8">
        <f>SUM([2]Sheet1!G19,[2]Sheet1!G53,[2]Sheet1!G87,[2]Sheet1!G121)</f>
        <v>362753.38711743394</v>
      </c>
      <c r="H15" s="8">
        <f>SUM([2]Sheet1!H19,[2]Sheet1!H53,[2]Sheet1!H87,[2]Sheet1!H121)</f>
        <v>369356.75951917219</v>
      </c>
      <c r="I15" s="8">
        <f>SUM([2]Sheet1!I19,[2]Sheet1!I53,[2]Sheet1!I87,[2]Sheet1!I121)</f>
        <v>374556.5500456483</v>
      </c>
      <c r="J15" s="8">
        <f>SUM([2]Sheet1!J19,[2]Sheet1!J53,[2]Sheet1!J87,[2]Sheet1!J121)</f>
        <v>378910.92921442771</v>
      </c>
      <c r="K15" s="8">
        <f>SUM([2]Sheet1!K19,[2]Sheet1!K53,[2]Sheet1!K87,[2]Sheet1!K121)</f>
        <v>384635.42484986543</v>
      </c>
      <c r="L15" s="8">
        <f>SUM([2]Sheet1!L19,[2]Sheet1!L53,[2]Sheet1!L87,[2]Sheet1!L121)</f>
        <v>392745.46620449051</v>
      </c>
      <c r="M15" s="8">
        <f>SUM([2]Sheet1!M19,[2]Sheet1!M53,[2]Sheet1!M87,[2]Sheet1!M121)</f>
        <v>403252.14266681322</v>
      </c>
      <c r="N15" s="8">
        <f>SUM([2]Sheet1!N19,[2]Sheet1!N53,[2]Sheet1!N87,[2]Sheet1!N121)</f>
        <v>415419.18422201893</v>
      </c>
      <c r="O15" s="8">
        <f>SUM([2]Sheet1!O19,[2]Sheet1!O53,[2]Sheet1!O87,[2]Sheet1!O121)</f>
        <v>430451.81233014073</v>
      </c>
      <c r="P15" s="8">
        <f>SUM([2]Sheet1!P19,[2]Sheet1!P53,[2]Sheet1!P87,[2]Sheet1!P121)</f>
        <v>446579.0209714626</v>
      </c>
      <c r="Q15" s="8">
        <f>SUM([2]Sheet1!Q19,[2]Sheet1!Q53,[2]Sheet1!Q87,[2]Sheet1!Q121)</f>
        <v>463508.8130152917</v>
      </c>
      <c r="R15" s="8">
        <f>SUM([2]Sheet1!R19,[2]Sheet1!R53,[2]Sheet1!R87,[2]Sheet1!R121)</f>
        <v>481257.75725747575</v>
      </c>
      <c r="S15" s="8">
        <f>SUM([2]Sheet1!S19,[2]Sheet1!S53,[2]Sheet1!S87,[2]Sheet1!S121)</f>
        <v>499711.0902356953</v>
      </c>
      <c r="T15" s="8"/>
      <c r="U15" s="8"/>
      <c r="V15" s="8"/>
      <c r="W15" s="8"/>
      <c r="X15" s="8"/>
      <c r="Y15" s="8"/>
      <c r="Z15" s="8"/>
      <c r="AA15" s="8"/>
      <c r="AB15" s="8"/>
      <c r="AC15" s="8"/>
      <c r="AD15" s="8"/>
      <c r="AE15" s="8"/>
    </row>
    <row r="16" spans="1:31">
      <c r="B16" s="4" t="s">
        <v>461</v>
      </c>
      <c r="C16" s="4" t="s">
        <v>476</v>
      </c>
      <c r="D16" s="8">
        <f>SUM([2]Sheet1!D20,[2]Sheet1!D54,[2]Sheet1!D88,[2]Sheet1!D122)</f>
        <v>224877.10167049782</v>
      </c>
      <c r="E16" s="8">
        <f>SUM([2]Sheet1!E20,[2]Sheet1!E54,[2]Sheet1!E88,[2]Sheet1!E122)</f>
        <v>226187.92365083241</v>
      </c>
      <c r="F16" s="8">
        <f>SUM([2]Sheet1!F20,[2]Sheet1!F54,[2]Sheet1!F88,[2]Sheet1!F122)</f>
        <v>227083.55596033577</v>
      </c>
      <c r="G16" s="8">
        <f>SUM([2]Sheet1!G20,[2]Sheet1!G54,[2]Sheet1!G88,[2]Sheet1!G122)</f>
        <v>230022.38212844168</v>
      </c>
      <c r="H16" s="8">
        <f>SUM([2]Sheet1!H20,[2]Sheet1!H54,[2]Sheet1!H88,[2]Sheet1!H122)</f>
        <v>234909.79471916531</v>
      </c>
      <c r="I16" s="8">
        <f>SUM([2]Sheet1!I20,[2]Sheet1!I54,[2]Sheet1!I88,[2]Sheet1!I122)</f>
        <v>241754.62214847622</v>
      </c>
      <c r="J16" s="8">
        <f>SUM([2]Sheet1!J20,[2]Sheet1!J54,[2]Sheet1!J88,[2]Sheet1!J122)</f>
        <v>249767.47395681549</v>
      </c>
      <c r="K16" s="8">
        <f>SUM([2]Sheet1!K20,[2]Sheet1!K54,[2]Sheet1!K88,[2]Sheet1!K122)</f>
        <v>258393.25175279813</v>
      </c>
      <c r="L16" s="8">
        <f>SUM([2]Sheet1!L20,[2]Sheet1!L54,[2]Sheet1!L88,[2]Sheet1!L122)</f>
        <v>265760.40083917469</v>
      </c>
      <c r="M16" s="8">
        <f>SUM([2]Sheet1!M20,[2]Sheet1!M54,[2]Sheet1!M88,[2]Sheet1!M122)</f>
        <v>271635.1879601815</v>
      </c>
      <c r="N16" s="8">
        <f>SUM([2]Sheet1!N20,[2]Sheet1!N54,[2]Sheet1!N88,[2]Sheet1!N122)</f>
        <v>276711.65566054214</v>
      </c>
      <c r="O16" s="8">
        <f>SUM([2]Sheet1!O20,[2]Sheet1!O54,[2]Sheet1!O88,[2]Sheet1!O122)</f>
        <v>281313.58563671116</v>
      </c>
      <c r="P16" s="8">
        <f>SUM([2]Sheet1!P20,[2]Sheet1!P54,[2]Sheet1!P88,[2]Sheet1!P122)</f>
        <v>286971.56045053265</v>
      </c>
      <c r="Q16" s="8">
        <f>SUM([2]Sheet1!Q20,[2]Sheet1!Q54,[2]Sheet1!Q88,[2]Sheet1!Q122)</f>
        <v>294449.79902846797</v>
      </c>
      <c r="R16" s="8">
        <f>SUM([2]Sheet1!R20,[2]Sheet1!R54,[2]Sheet1!R88,[2]Sheet1!R122)</f>
        <v>303849.53934690234</v>
      </c>
      <c r="S16" s="8">
        <f>SUM([2]Sheet1!S20,[2]Sheet1!S54,[2]Sheet1!S88,[2]Sheet1!S122)</f>
        <v>314643.87020421983</v>
      </c>
      <c r="T16" s="8"/>
      <c r="U16" s="8"/>
      <c r="V16" s="8"/>
      <c r="W16" s="8"/>
      <c r="X16" s="8"/>
      <c r="Y16" s="8"/>
      <c r="Z16" s="8"/>
      <c r="AA16" s="8"/>
      <c r="AB16" s="8"/>
      <c r="AC16" s="8"/>
      <c r="AD16" s="8"/>
      <c r="AE16" s="8"/>
    </row>
    <row r="17" spans="2:31">
      <c r="B17" s="4" t="s">
        <v>461</v>
      </c>
      <c r="C17" s="4" t="s">
        <v>477</v>
      </c>
      <c r="D17" s="8">
        <f>SUM([2]Sheet1!D21,[2]Sheet1!D55,[2]Sheet1!D89,[2]Sheet1!D123)</f>
        <v>136113.41047285518</v>
      </c>
      <c r="E17" s="8">
        <f>SUM([2]Sheet1!E21,[2]Sheet1!E55,[2]Sheet1!E89,[2]Sheet1!E123)</f>
        <v>137889.03151454381</v>
      </c>
      <c r="F17" s="8">
        <f>SUM([2]Sheet1!F21,[2]Sheet1!F55,[2]Sheet1!F89,[2]Sheet1!F123)</f>
        <v>139850.104920388</v>
      </c>
      <c r="G17" s="8">
        <f>SUM([2]Sheet1!G21,[2]Sheet1!G55,[2]Sheet1!G89,[2]Sheet1!G123)</f>
        <v>141670.58791028697</v>
      </c>
      <c r="H17" s="8">
        <f>SUM([2]Sheet1!H21,[2]Sheet1!H55,[2]Sheet1!H89,[2]Sheet1!H123)</f>
        <v>143069.40738170873</v>
      </c>
      <c r="I17" s="8">
        <f>SUM([2]Sheet1!I21,[2]Sheet1!I55,[2]Sheet1!I89,[2]Sheet1!I123)</f>
        <v>144325.56363142564</v>
      </c>
      <c r="J17" s="8">
        <f>SUM([2]Sheet1!J21,[2]Sheet1!J55,[2]Sheet1!J89,[2]Sheet1!J123)</f>
        <v>145506.70857403637</v>
      </c>
      <c r="K17" s="8">
        <f>SUM([2]Sheet1!K21,[2]Sheet1!K55,[2]Sheet1!K89,[2]Sheet1!K123)</f>
        <v>146644.51519230643</v>
      </c>
      <c r="L17" s="8">
        <f>SUM([2]Sheet1!L21,[2]Sheet1!L55,[2]Sheet1!L89,[2]Sheet1!L123)</f>
        <v>149308.73729902838</v>
      </c>
      <c r="M17" s="8">
        <f>SUM([2]Sheet1!M21,[2]Sheet1!M55,[2]Sheet1!M89,[2]Sheet1!M123)</f>
        <v>153411.16205776282</v>
      </c>
      <c r="N17" s="8">
        <f>SUM([2]Sheet1!N21,[2]Sheet1!N55,[2]Sheet1!N89,[2]Sheet1!N123)</f>
        <v>158851.94076045998</v>
      </c>
      <c r="O17" s="8">
        <f>SUM([2]Sheet1!O21,[2]Sheet1!O55,[2]Sheet1!O89,[2]Sheet1!O123)</f>
        <v>165125.51247979311</v>
      </c>
      <c r="P17" s="8">
        <f>SUM([2]Sheet1!P21,[2]Sheet1!P55,[2]Sheet1!P89,[2]Sheet1!P123)</f>
        <v>171712.7804442051</v>
      </c>
      <c r="Q17" s="8">
        <f>SUM([2]Sheet1!Q21,[2]Sheet1!Q55,[2]Sheet1!Q89,[2]Sheet1!Q123)</f>
        <v>177526.82683254255</v>
      </c>
      <c r="R17" s="8">
        <f>SUM([2]Sheet1!R21,[2]Sheet1!R55,[2]Sheet1!R89,[2]Sheet1!R123)</f>
        <v>182495.24687006572</v>
      </c>
      <c r="S17" s="8">
        <f>SUM([2]Sheet1!S21,[2]Sheet1!S55,[2]Sheet1!S89,[2]Sheet1!S123)</f>
        <v>187084.46060608642</v>
      </c>
      <c r="T17" s="8"/>
      <c r="U17" s="8"/>
      <c r="V17" s="8"/>
      <c r="W17" s="8"/>
      <c r="X17" s="8"/>
      <c r="Y17" s="8"/>
      <c r="Z17" s="8"/>
      <c r="AA17" s="8"/>
      <c r="AB17" s="8"/>
      <c r="AC17" s="8"/>
      <c r="AD17" s="8"/>
      <c r="AE17" s="8"/>
    </row>
    <row r="18" spans="2:31">
      <c r="B18" s="4" t="s">
        <v>461</v>
      </c>
      <c r="C18" s="4" t="s">
        <v>478</v>
      </c>
      <c r="D18" s="8">
        <f>SUM([2]Sheet1!D22,[2]Sheet1!D56,[2]Sheet1!D90,[2]Sheet1!D124)</f>
        <v>106228.95107064996</v>
      </c>
      <c r="E18" s="8">
        <f>SUM([2]Sheet1!E22,[2]Sheet1!E56,[2]Sheet1!E90,[2]Sheet1!E124)</f>
        <v>107716.99456097675</v>
      </c>
      <c r="F18" s="8">
        <f>SUM([2]Sheet1!F22,[2]Sheet1!F56,[2]Sheet1!F90,[2]Sheet1!F124)</f>
        <v>109064.07331907432</v>
      </c>
      <c r="G18" s="8">
        <f>SUM([2]Sheet1!G22,[2]Sheet1!G56,[2]Sheet1!G90,[2]Sheet1!G124)</f>
        <v>110344.67798154335</v>
      </c>
      <c r="H18" s="8">
        <f>SUM([2]Sheet1!H22,[2]Sheet1!H56,[2]Sheet1!H90,[2]Sheet1!H124)</f>
        <v>112108.22965897596</v>
      </c>
      <c r="I18" s="8">
        <f>SUM([2]Sheet1!I22,[2]Sheet1!I56,[2]Sheet1!I90,[2]Sheet1!I124)</f>
        <v>113866.35964732076</v>
      </c>
      <c r="J18" s="8">
        <f>SUM([2]Sheet1!J22,[2]Sheet1!J56,[2]Sheet1!J90,[2]Sheet1!J124)</f>
        <v>115740.72937423378</v>
      </c>
      <c r="K18" s="8">
        <f>SUM([2]Sheet1!K22,[2]Sheet1!K56,[2]Sheet1!K90,[2]Sheet1!K124)</f>
        <v>117780.48351091867</v>
      </c>
      <c r="L18" s="8">
        <f>SUM([2]Sheet1!L22,[2]Sheet1!L56,[2]Sheet1!L90,[2]Sheet1!L124)</f>
        <v>119842.54733242658</v>
      </c>
      <c r="M18" s="8">
        <f>SUM([2]Sheet1!M22,[2]Sheet1!M56,[2]Sheet1!M90,[2]Sheet1!M124)</f>
        <v>122047.4577375052</v>
      </c>
      <c r="N18" s="8">
        <f>SUM([2]Sheet1!N22,[2]Sheet1!N56,[2]Sheet1!N90,[2]Sheet1!N124)</f>
        <v>124196.59346915706</v>
      </c>
      <c r="O18" s="8">
        <f>SUM([2]Sheet1!O22,[2]Sheet1!O56,[2]Sheet1!O90,[2]Sheet1!O124)</f>
        <v>126408.65320709298</v>
      </c>
      <c r="P18" s="8">
        <f>SUM([2]Sheet1!P22,[2]Sheet1!P56,[2]Sheet1!P90,[2]Sheet1!P124)</f>
        <v>128738.12313684807</v>
      </c>
      <c r="Q18" s="8">
        <f>SUM([2]Sheet1!Q22,[2]Sheet1!Q56,[2]Sheet1!Q90,[2]Sheet1!Q124)</f>
        <v>132008.80657211767</v>
      </c>
      <c r="R18" s="8">
        <f>SUM([2]Sheet1!R22,[2]Sheet1!R56,[2]Sheet1!R90,[2]Sheet1!R124)</f>
        <v>136233.55382356065</v>
      </c>
      <c r="S18" s="8">
        <f>SUM([2]Sheet1!S22,[2]Sheet1!S56,[2]Sheet1!S90,[2]Sheet1!S124)</f>
        <v>141215.3225497384</v>
      </c>
      <c r="T18" s="8"/>
      <c r="U18" s="8"/>
      <c r="V18" s="8"/>
      <c r="W18" s="8"/>
      <c r="X18" s="8"/>
      <c r="Y18" s="8"/>
      <c r="Z18" s="8"/>
      <c r="AA18" s="8"/>
      <c r="AB18" s="8"/>
      <c r="AC18" s="8"/>
      <c r="AD18" s="8"/>
      <c r="AE18" s="8"/>
    </row>
    <row r="19" spans="2:31">
      <c r="B19" s="4" t="s">
        <v>479</v>
      </c>
      <c r="C19" s="4" t="s">
        <v>462</v>
      </c>
      <c r="D19" s="8">
        <f>SUM([2]Sheet1!D23,[2]Sheet1!D57,[2]Sheet1!D91,[2]Sheet1!D125)</f>
        <v>2344983.5922747836</v>
      </c>
      <c r="E19" s="8">
        <f>SUM([2]Sheet1!E23,[2]Sheet1!E57,[2]Sheet1!E91,[2]Sheet1!E125)</f>
        <v>2344690.4576547071</v>
      </c>
      <c r="F19" s="8">
        <f>SUM([2]Sheet1!F23,[2]Sheet1!F57,[2]Sheet1!F91,[2]Sheet1!F125)</f>
        <v>2375055.1503935256</v>
      </c>
      <c r="G19" s="8">
        <f>SUM([2]Sheet1!G23,[2]Sheet1!G57,[2]Sheet1!G91,[2]Sheet1!G125)</f>
        <v>2424333.6105767726</v>
      </c>
      <c r="H19" s="8">
        <f>SUM([2]Sheet1!H23,[2]Sheet1!H57,[2]Sheet1!H91,[2]Sheet1!H125)</f>
        <v>2506187.6427789042</v>
      </c>
      <c r="I19" s="8">
        <f>SUM([2]Sheet1!I23,[2]Sheet1!I57,[2]Sheet1!I91,[2]Sheet1!I125)</f>
        <v>2607498.3186374218</v>
      </c>
      <c r="J19" s="8">
        <f>SUM([2]Sheet1!J23,[2]Sheet1!J57,[2]Sheet1!J91,[2]Sheet1!J125)</f>
        <v>2712847.9418493938</v>
      </c>
      <c r="K19" s="8">
        <f>SUM([2]Sheet1!K23,[2]Sheet1!K57,[2]Sheet1!K91,[2]Sheet1!K125)</f>
        <v>2790366.9492815025</v>
      </c>
      <c r="L19" s="8">
        <f>SUM([2]Sheet1!L23,[2]Sheet1!L57,[2]Sheet1!L91,[2]Sheet1!L125)</f>
        <v>2845136.4057310862</v>
      </c>
      <c r="M19" s="8">
        <f>SUM([2]Sheet1!M23,[2]Sheet1!M57,[2]Sheet1!M91,[2]Sheet1!M125)</f>
        <v>2878586.5940013444</v>
      </c>
      <c r="N19" s="8">
        <f>SUM([2]Sheet1!N23,[2]Sheet1!N57,[2]Sheet1!N91,[2]Sheet1!N125)</f>
        <v>2895522.4970890828</v>
      </c>
      <c r="O19" s="8">
        <f>SUM([2]Sheet1!O23,[2]Sheet1!O57,[2]Sheet1!O91,[2]Sheet1!O125)</f>
        <v>2905556.9705545753</v>
      </c>
      <c r="P19" s="8">
        <f>SUM([2]Sheet1!P23,[2]Sheet1!P57,[2]Sheet1!P91,[2]Sheet1!P125)</f>
        <v>2913545.6512265364</v>
      </c>
      <c r="Q19" s="8">
        <f>SUM([2]Sheet1!Q23,[2]Sheet1!Q57,[2]Sheet1!Q91,[2]Sheet1!Q125)</f>
        <v>2919750.0220190878</v>
      </c>
      <c r="R19" s="8">
        <f>SUM([2]Sheet1!R23,[2]Sheet1!R57,[2]Sheet1!R91,[2]Sheet1!R125)</f>
        <v>2922788.9812859613</v>
      </c>
      <c r="S19" s="8">
        <f>SUM([2]Sheet1!S23,[2]Sheet1!S57,[2]Sheet1!S91,[2]Sheet1!S125)</f>
        <v>2920261.4274772308</v>
      </c>
      <c r="T19" s="8"/>
      <c r="U19" s="8"/>
      <c r="V19" s="8"/>
      <c r="W19" s="8"/>
      <c r="X19" s="8"/>
      <c r="Y19" s="8"/>
      <c r="Z19" s="8"/>
      <c r="AA19" s="8"/>
      <c r="AB19" s="8"/>
      <c r="AC19" s="8"/>
      <c r="AD19" s="8"/>
      <c r="AE19" s="8"/>
    </row>
    <row r="20" spans="2:31">
      <c r="B20" s="4" t="s">
        <v>479</v>
      </c>
      <c r="C20" s="4" t="s">
        <v>463</v>
      </c>
      <c r="D20" s="8">
        <f>SUM([2]Sheet1!D24,[2]Sheet1!D58,[2]Sheet1!D92,[2]Sheet1!D126)</f>
        <v>2494403.1903595864</v>
      </c>
      <c r="E20" s="8">
        <f>SUM([2]Sheet1!E24,[2]Sheet1!E58,[2]Sheet1!E92,[2]Sheet1!E126)</f>
        <v>2446413.7334528388</v>
      </c>
      <c r="F20" s="8">
        <f>SUM([2]Sheet1!F24,[2]Sheet1!F58,[2]Sheet1!F92,[2]Sheet1!F126)</f>
        <v>2406455.4791143369</v>
      </c>
      <c r="G20" s="8">
        <f>SUM([2]Sheet1!G24,[2]Sheet1!G58,[2]Sheet1!G92,[2]Sheet1!G126)</f>
        <v>2379071.4473119848</v>
      </c>
      <c r="H20" s="8">
        <f>SUM([2]Sheet1!H24,[2]Sheet1!H58,[2]Sheet1!H92,[2]Sheet1!H126)</f>
        <v>2348394.9061699323</v>
      </c>
      <c r="I20" s="8">
        <f>SUM([2]Sheet1!I24,[2]Sheet1!I58,[2]Sheet1!I92,[2]Sheet1!I126)</f>
        <v>2330300.465740575</v>
      </c>
      <c r="J20" s="8">
        <f>SUM([2]Sheet1!J24,[2]Sheet1!J58,[2]Sheet1!J92,[2]Sheet1!J126)</f>
        <v>2323119.3441772233</v>
      </c>
      <c r="K20" s="8">
        <f>SUM([2]Sheet1!K24,[2]Sheet1!K58,[2]Sheet1!K92,[2]Sheet1!K126)</f>
        <v>2346840.8277398697</v>
      </c>
      <c r="L20" s="8">
        <f>SUM([2]Sheet1!L24,[2]Sheet1!L58,[2]Sheet1!L92,[2]Sheet1!L126)</f>
        <v>2388619.2998715872</v>
      </c>
      <c r="M20" s="8">
        <f>SUM([2]Sheet1!M24,[2]Sheet1!M58,[2]Sheet1!M92,[2]Sheet1!M126)</f>
        <v>2462278.0471763369</v>
      </c>
      <c r="N20" s="8">
        <f>SUM([2]Sheet1!N24,[2]Sheet1!N58,[2]Sheet1!N92,[2]Sheet1!N126)</f>
        <v>2559071.0308297602</v>
      </c>
      <c r="O20" s="8">
        <f>SUM([2]Sheet1!O24,[2]Sheet1!O58,[2]Sheet1!O92,[2]Sheet1!O126)</f>
        <v>2663090.743699844</v>
      </c>
      <c r="P20" s="8">
        <f>SUM([2]Sheet1!P24,[2]Sheet1!P58,[2]Sheet1!P92,[2]Sheet1!P126)</f>
        <v>2744589.8870925959</v>
      </c>
      <c r="Q20" s="8">
        <f>SUM([2]Sheet1!Q24,[2]Sheet1!Q58,[2]Sheet1!Q92,[2]Sheet1!Q126)</f>
        <v>2806997.0754570393</v>
      </c>
      <c r="R20" s="8">
        <f>SUM([2]Sheet1!R24,[2]Sheet1!R58,[2]Sheet1!R92,[2]Sheet1!R126)</f>
        <v>2849053.7150437837</v>
      </c>
      <c r="S20" s="8">
        <f>SUM([2]Sheet1!S24,[2]Sheet1!S58,[2]Sheet1!S92,[2]Sheet1!S126)</f>
        <v>2875651.2742645727</v>
      </c>
      <c r="T20" s="8"/>
      <c r="U20" s="8"/>
      <c r="V20" s="8"/>
      <c r="W20" s="8"/>
      <c r="X20" s="8"/>
      <c r="Y20" s="8"/>
      <c r="Z20" s="8"/>
      <c r="AA20" s="8"/>
      <c r="AB20" s="8"/>
      <c r="AC20" s="8"/>
      <c r="AD20" s="8"/>
      <c r="AE20" s="8"/>
    </row>
    <row r="21" spans="2:31">
      <c r="B21" s="4" t="s">
        <v>479</v>
      </c>
      <c r="C21" s="4" t="s">
        <v>464</v>
      </c>
      <c r="D21" s="8">
        <f>SUM([2]Sheet1!D25,[2]Sheet1!D59,[2]Sheet1!D93,[2]Sheet1!D127)</f>
        <v>2676264.6808006493</v>
      </c>
      <c r="E21" s="8">
        <f>SUM([2]Sheet1!E25,[2]Sheet1!E59,[2]Sheet1!E93,[2]Sheet1!E127)</f>
        <v>2656987.3523386768</v>
      </c>
      <c r="F21" s="8">
        <f>SUM([2]Sheet1!F25,[2]Sheet1!F59,[2]Sheet1!F93,[2]Sheet1!F127)</f>
        <v>2626854.828035295</v>
      </c>
      <c r="G21" s="8">
        <f>SUM([2]Sheet1!G25,[2]Sheet1!G59,[2]Sheet1!G93,[2]Sheet1!G127)</f>
        <v>2592103.7697304715</v>
      </c>
      <c r="H21" s="8">
        <f>SUM([2]Sheet1!H25,[2]Sheet1!H59,[2]Sheet1!H93,[2]Sheet1!H127)</f>
        <v>2556288.2624215418</v>
      </c>
      <c r="I21" s="8">
        <f>SUM([2]Sheet1!I25,[2]Sheet1!I59,[2]Sheet1!I93,[2]Sheet1!I127)</f>
        <v>2505723.2000020081</v>
      </c>
      <c r="J21" s="8">
        <f>SUM([2]Sheet1!J25,[2]Sheet1!J59,[2]Sheet1!J93,[2]Sheet1!J127)</f>
        <v>2448571.4813848482</v>
      </c>
      <c r="K21" s="8">
        <f>SUM([2]Sheet1!K25,[2]Sheet1!K59,[2]Sheet1!K93,[2]Sheet1!K127)</f>
        <v>2401520.5223718905</v>
      </c>
      <c r="L21" s="8">
        <f>SUM([2]Sheet1!L25,[2]Sheet1!L59,[2]Sheet1!L93,[2]Sheet1!L127)</f>
        <v>2366665.0458610705</v>
      </c>
      <c r="M21" s="8">
        <f>SUM([2]Sheet1!M25,[2]Sheet1!M59,[2]Sheet1!M93,[2]Sheet1!M127)</f>
        <v>2328568.2940117181</v>
      </c>
      <c r="N21" s="8">
        <f>SUM([2]Sheet1!N25,[2]Sheet1!N59,[2]Sheet1!N93,[2]Sheet1!N127)</f>
        <v>2306656.227595903</v>
      </c>
      <c r="O21" s="8">
        <f>SUM([2]Sheet1!O25,[2]Sheet1!O59,[2]Sheet1!O93,[2]Sheet1!O127)</f>
        <v>2298613.7034824532</v>
      </c>
      <c r="P21" s="8">
        <f>SUM([2]Sheet1!P25,[2]Sheet1!P59,[2]Sheet1!P93,[2]Sheet1!P127)</f>
        <v>2321841.3836357901</v>
      </c>
      <c r="Q21" s="8">
        <f>SUM([2]Sheet1!Q25,[2]Sheet1!Q59,[2]Sheet1!Q93,[2]Sheet1!Q127)</f>
        <v>2365788.013964205</v>
      </c>
      <c r="R21" s="8">
        <f>SUM([2]Sheet1!R25,[2]Sheet1!R59,[2]Sheet1!R93,[2]Sheet1!R127)</f>
        <v>2443770.1253022384</v>
      </c>
      <c r="S21" s="8">
        <f>SUM([2]Sheet1!S25,[2]Sheet1!S59,[2]Sheet1!S93,[2]Sheet1!S127)</f>
        <v>2546421.6314461427</v>
      </c>
      <c r="T21" s="8"/>
      <c r="U21" s="8"/>
      <c r="V21" s="8"/>
      <c r="W21" s="8"/>
      <c r="X21" s="8"/>
      <c r="Y21" s="8"/>
      <c r="Z21" s="8"/>
      <c r="AA21" s="8"/>
      <c r="AB21" s="8"/>
      <c r="AC21" s="8"/>
      <c r="AD21" s="8"/>
      <c r="AE21" s="8"/>
    </row>
    <row r="22" spans="2:31">
      <c r="B22" s="4" t="s">
        <v>479</v>
      </c>
      <c r="C22" s="4" t="s">
        <v>465</v>
      </c>
      <c r="D22" s="8">
        <f>SUM([2]Sheet1!D26,[2]Sheet1!D60,[2]Sheet1!D94,[2]Sheet1!D128)</f>
        <v>2556495.9277705974</v>
      </c>
      <c r="E22" s="8">
        <f>SUM([2]Sheet1!E26,[2]Sheet1!E60,[2]Sheet1!E94,[2]Sheet1!E128)</f>
        <v>2616821.0894819917</v>
      </c>
      <c r="F22" s="8">
        <f>SUM([2]Sheet1!F26,[2]Sheet1!F60,[2]Sheet1!F94,[2]Sheet1!F128)</f>
        <v>2666762.8603729312</v>
      </c>
      <c r="G22" s="8">
        <f>SUM([2]Sheet1!G26,[2]Sheet1!G60,[2]Sheet1!G94,[2]Sheet1!G128)</f>
        <v>2699094.2141649271</v>
      </c>
      <c r="H22" s="8">
        <f>SUM([2]Sheet1!H26,[2]Sheet1!H60,[2]Sheet1!H94,[2]Sheet1!H128)</f>
        <v>2706076.1105017937</v>
      </c>
      <c r="I22" s="8">
        <f>SUM([2]Sheet1!I26,[2]Sheet1!I60,[2]Sheet1!I94,[2]Sheet1!I128)</f>
        <v>2694714.3366090916</v>
      </c>
      <c r="J22" s="8">
        <f>SUM([2]Sheet1!J26,[2]Sheet1!J60,[2]Sheet1!J94,[2]Sheet1!J128)</f>
        <v>2666665.0032345154</v>
      </c>
      <c r="K22" s="8">
        <f>SUM([2]Sheet1!K26,[2]Sheet1!K60,[2]Sheet1!K94,[2]Sheet1!K128)</f>
        <v>2629417.7124756873</v>
      </c>
      <c r="L22" s="8">
        <f>SUM([2]Sheet1!L26,[2]Sheet1!L60,[2]Sheet1!L94,[2]Sheet1!L128)</f>
        <v>2586712.5936848954</v>
      </c>
      <c r="M22" s="8">
        <f>SUM([2]Sheet1!M26,[2]Sheet1!M60,[2]Sheet1!M94,[2]Sheet1!M128)</f>
        <v>2542647.2393379794</v>
      </c>
      <c r="N22" s="8">
        <f>SUM([2]Sheet1!N26,[2]Sheet1!N60,[2]Sheet1!N94,[2]Sheet1!N128)</f>
        <v>2488061.8275276124</v>
      </c>
      <c r="O22" s="8">
        <f>SUM([2]Sheet1!O26,[2]Sheet1!O60,[2]Sheet1!O94,[2]Sheet1!O128)</f>
        <v>2430436.0507147312</v>
      </c>
      <c r="P22" s="8">
        <f>SUM([2]Sheet1!P26,[2]Sheet1!P60,[2]Sheet1!P94,[2]Sheet1!P128)</f>
        <v>2383631.0414106352</v>
      </c>
      <c r="Q22" s="8">
        <f>SUM([2]Sheet1!Q26,[2]Sheet1!Q60,[2]Sheet1!Q94,[2]Sheet1!Q128)</f>
        <v>2351936.1978930258</v>
      </c>
      <c r="R22" s="8">
        <f>SUM([2]Sheet1!R26,[2]Sheet1!R60,[2]Sheet1!R94,[2]Sheet1!R128)</f>
        <v>2319575.0437826612</v>
      </c>
      <c r="S22" s="8">
        <f>SUM([2]Sheet1!S26,[2]Sheet1!S60,[2]Sheet1!S94,[2]Sheet1!S128)</f>
        <v>2304284.0221368643</v>
      </c>
      <c r="T22" s="8"/>
      <c r="U22" s="8"/>
      <c r="V22" s="8"/>
      <c r="W22" s="8"/>
      <c r="X22" s="8"/>
      <c r="Y22" s="8"/>
      <c r="Z22" s="8"/>
      <c r="AA22" s="8"/>
      <c r="AB22" s="8"/>
      <c r="AC22" s="8"/>
      <c r="AD22" s="8"/>
      <c r="AE22" s="8"/>
    </row>
    <row r="23" spans="2:31">
      <c r="B23" s="4" t="s">
        <v>479</v>
      </c>
      <c r="C23" s="4" t="s">
        <v>466</v>
      </c>
      <c r="D23" s="8">
        <f>SUM([2]Sheet1!D27,[2]Sheet1!D61,[2]Sheet1!D95,[2]Sheet1!D129)</f>
        <v>2178717.8731500185</v>
      </c>
      <c r="E23" s="8">
        <f>SUM([2]Sheet1!E27,[2]Sheet1!E61,[2]Sheet1!E95,[2]Sheet1!E129)</f>
        <v>2271054.6536445571</v>
      </c>
      <c r="F23" s="8">
        <f>SUM([2]Sheet1!F27,[2]Sheet1!F61,[2]Sheet1!F95,[2]Sheet1!F129)</f>
        <v>2362127.3876364501</v>
      </c>
      <c r="G23" s="8">
        <f>SUM([2]Sheet1!G27,[2]Sheet1!G61,[2]Sheet1!G95,[2]Sheet1!G129)</f>
        <v>2451082.237306668</v>
      </c>
      <c r="H23" s="8">
        <f>SUM([2]Sheet1!H27,[2]Sheet1!H61,[2]Sheet1!H95,[2]Sheet1!H129)</f>
        <v>2524454.3970235302</v>
      </c>
      <c r="I23" s="8">
        <f>SUM([2]Sheet1!I27,[2]Sheet1!I61,[2]Sheet1!I95,[2]Sheet1!I129)</f>
        <v>2585901.7843568362</v>
      </c>
      <c r="J23" s="8">
        <f>SUM([2]Sheet1!J27,[2]Sheet1!J61,[2]Sheet1!J95,[2]Sheet1!J129)</f>
        <v>2641762.7255985751</v>
      </c>
      <c r="K23" s="8">
        <f>SUM([2]Sheet1!K27,[2]Sheet1!K61,[2]Sheet1!K95,[2]Sheet1!K129)</f>
        <v>2688322.6169160963</v>
      </c>
      <c r="L23" s="8">
        <f>SUM([2]Sheet1!L27,[2]Sheet1!L61,[2]Sheet1!L95,[2]Sheet1!L129)</f>
        <v>2715827.6027244139</v>
      </c>
      <c r="M23" s="8">
        <f>SUM([2]Sheet1!M27,[2]Sheet1!M61,[2]Sheet1!M95,[2]Sheet1!M129)</f>
        <v>2717467.6265149461</v>
      </c>
      <c r="N23" s="8">
        <f>SUM([2]Sheet1!N27,[2]Sheet1!N61,[2]Sheet1!N95,[2]Sheet1!N129)</f>
        <v>2704653.5001201699</v>
      </c>
      <c r="O23" s="8">
        <f>SUM([2]Sheet1!O27,[2]Sheet1!O61,[2]Sheet1!O95,[2]Sheet1!O129)</f>
        <v>2678694.0630741562</v>
      </c>
      <c r="P23" s="8">
        <f>SUM([2]Sheet1!P27,[2]Sheet1!P61,[2]Sheet1!P95,[2]Sheet1!P129)</f>
        <v>2644262.5526147932</v>
      </c>
      <c r="Q23" s="8">
        <f>SUM([2]Sheet1!Q27,[2]Sheet1!Q61,[2]Sheet1!Q95,[2]Sheet1!Q129)</f>
        <v>2607467.754745347</v>
      </c>
      <c r="R23" s="8">
        <f>SUM([2]Sheet1!R27,[2]Sheet1!R61,[2]Sheet1!R95,[2]Sheet1!R129)</f>
        <v>2571845.9367150427</v>
      </c>
      <c r="S23" s="8">
        <f>SUM([2]Sheet1!S27,[2]Sheet1!S61,[2]Sheet1!S95,[2]Sheet1!S129)</f>
        <v>2526937.2369979741</v>
      </c>
      <c r="T23" s="8"/>
      <c r="U23" s="8"/>
      <c r="V23" s="8"/>
      <c r="W23" s="8"/>
      <c r="X23" s="8"/>
      <c r="Y23" s="8"/>
      <c r="Z23" s="8"/>
      <c r="AA23" s="8"/>
      <c r="AB23" s="8"/>
      <c r="AC23" s="8"/>
      <c r="AD23" s="8"/>
      <c r="AE23" s="8"/>
    </row>
    <row r="24" spans="2:31">
      <c r="B24" s="4" t="s">
        <v>479</v>
      </c>
      <c r="C24" s="4" t="s">
        <v>467</v>
      </c>
      <c r="D24" s="8">
        <f>SUM([2]Sheet1!D28,[2]Sheet1!D62,[2]Sheet1!D96,[2]Sheet1!D130)</f>
        <v>1918966.6231761393</v>
      </c>
      <c r="E24" s="8">
        <f>SUM([2]Sheet1!E28,[2]Sheet1!E62,[2]Sheet1!E96,[2]Sheet1!E130)</f>
        <v>1936845.2591374554</v>
      </c>
      <c r="F24" s="8">
        <f>SUM([2]Sheet1!F28,[2]Sheet1!F62,[2]Sheet1!F96,[2]Sheet1!F130)</f>
        <v>1962772.8536281188</v>
      </c>
      <c r="G24" s="8">
        <f>SUM([2]Sheet1!G28,[2]Sheet1!G62,[2]Sheet1!G96,[2]Sheet1!G130)</f>
        <v>2005892.0603399104</v>
      </c>
      <c r="H24" s="8">
        <f>SUM([2]Sheet1!H28,[2]Sheet1!H62,[2]Sheet1!H96,[2]Sheet1!H130)</f>
        <v>2083509.2746003985</v>
      </c>
      <c r="I24" s="8">
        <f>SUM([2]Sheet1!I28,[2]Sheet1!I62,[2]Sheet1!I96,[2]Sheet1!I130)</f>
        <v>2176092.6744755041</v>
      </c>
      <c r="J24" s="8">
        <f>SUM([2]Sheet1!J28,[2]Sheet1!J62,[2]Sheet1!J96,[2]Sheet1!J130)</f>
        <v>2273059.0280612623</v>
      </c>
      <c r="K24" s="8">
        <f>SUM([2]Sheet1!K28,[2]Sheet1!K62,[2]Sheet1!K96,[2]Sheet1!K130)</f>
        <v>2368024.7514624433</v>
      </c>
      <c r="L24" s="8">
        <f>SUM([2]Sheet1!L28,[2]Sheet1!L62,[2]Sheet1!L96,[2]Sheet1!L130)</f>
        <v>2459304.5114334365</v>
      </c>
      <c r="M24" s="8">
        <f>SUM([2]Sheet1!M28,[2]Sheet1!M62,[2]Sheet1!M96,[2]Sheet1!M130)</f>
        <v>2534666.1892032642</v>
      </c>
      <c r="N24" s="8">
        <f>SUM([2]Sheet1!N28,[2]Sheet1!N62,[2]Sheet1!N96,[2]Sheet1!N130)</f>
        <v>2600507.0284008244</v>
      </c>
      <c r="O24" s="8">
        <f>SUM([2]Sheet1!O28,[2]Sheet1!O62,[2]Sheet1!O96,[2]Sheet1!O130)</f>
        <v>2662779.0364503008</v>
      </c>
      <c r="P24" s="8">
        <f>SUM([2]Sheet1!P28,[2]Sheet1!P62,[2]Sheet1!P96,[2]Sheet1!P130)</f>
        <v>2715430.3365264274</v>
      </c>
      <c r="Q24" s="8">
        <f>SUM([2]Sheet1!Q28,[2]Sheet1!Q62,[2]Sheet1!Q96,[2]Sheet1!Q130)</f>
        <v>2751872.7891952903</v>
      </c>
      <c r="R24" s="8">
        <f>SUM([2]Sheet1!R28,[2]Sheet1!R62,[2]Sheet1!R96,[2]Sheet1!R130)</f>
        <v>2765955.0211466602</v>
      </c>
      <c r="S24" s="8">
        <f>SUM([2]Sheet1!S28,[2]Sheet1!S62,[2]Sheet1!S96,[2]Sheet1!S130)</f>
        <v>2767011.8655370576</v>
      </c>
      <c r="T24" s="8"/>
      <c r="U24" s="8"/>
      <c r="V24" s="8"/>
      <c r="W24" s="8"/>
      <c r="X24" s="8"/>
      <c r="Y24" s="8"/>
      <c r="Z24" s="8"/>
      <c r="AA24" s="8"/>
      <c r="AB24" s="8"/>
      <c r="AC24" s="8"/>
      <c r="AD24" s="8"/>
      <c r="AE24" s="8"/>
    </row>
    <row r="25" spans="2:31">
      <c r="B25" s="4" t="s">
        <v>479</v>
      </c>
      <c r="C25" s="4" t="s">
        <v>468</v>
      </c>
      <c r="D25" s="8">
        <f>SUM([2]Sheet1!D29,[2]Sheet1!D63,[2]Sheet1!D97,[2]Sheet1!D131)</f>
        <v>1779414.1308026365</v>
      </c>
      <c r="E25" s="8">
        <f>SUM([2]Sheet1!E29,[2]Sheet1!E63,[2]Sheet1!E97,[2]Sheet1!E131)</f>
        <v>1787017.7849738379</v>
      </c>
      <c r="F25" s="8">
        <f>SUM([2]Sheet1!F29,[2]Sheet1!F63,[2]Sheet1!F97,[2]Sheet1!F131)</f>
        <v>1797127.0742289505</v>
      </c>
      <c r="G25" s="8">
        <f>SUM([2]Sheet1!G29,[2]Sheet1!G63,[2]Sheet1!G97,[2]Sheet1!G131)</f>
        <v>1806383.8900453988</v>
      </c>
      <c r="H25" s="8">
        <f>SUM([2]Sheet1!H29,[2]Sheet1!H63,[2]Sheet1!H97,[2]Sheet1!H131)</f>
        <v>1817188.2010282455</v>
      </c>
      <c r="I25" s="8">
        <f>SUM([2]Sheet1!I29,[2]Sheet1!I63,[2]Sheet1!I97,[2]Sheet1!I131)</f>
        <v>1832439.1643527753</v>
      </c>
      <c r="J25" s="8">
        <f>SUM([2]Sheet1!J29,[2]Sheet1!J63,[2]Sheet1!J97,[2]Sheet1!J131)</f>
        <v>1856654.7403300449</v>
      </c>
      <c r="K25" s="8">
        <f>SUM([2]Sheet1!K29,[2]Sheet1!K63,[2]Sheet1!K97,[2]Sheet1!K131)</f>
        <v>1892144.2161354907</v>
      </c>
      <c r="L25" s="8">
        <f>SUM([2]Sheet1!L29,[2]Sheet1!L63,[2]Sheet1!L97,[2]Sheet1!L131)</f>
        <v>1946646.0880797545</v>
      </c>
      <c r="M25" s="8">
        <f>SUM([2]Sheet1!M29,[2]Sheet1!M63,[2]Sheet1!M97,[2]Sheet1!M131)</f>
        <v>2035731.8268357639</v>
      </c>
      <c r="N25" s="8">
        <f>SUM([2]Sheet1!N29,[2]Sheet1!N63,[2]Sheet1!N97,[2]Sheet1!N131)</f>
        <v>2138965.9563517049</v>
      </c>
      <c r="O25" s="8">
        <f>SUM([2]Sheet1!O29,[2]Sheet1!O63,[2]Sheet1!O97,[2]Sheet1!O131)</f>
        <v>2246129.3752120649</v>
      </c>
      <c r="P25" s="8">
        <f>SUM([2]Sheet1!P29,[2]Sheet1!P63,[2]Sheet1!P97,[2]Sheet1!P131)</f>
        <v>2351029.1590842283</v>
      </c>
      <c r="Q25" s="8">
        <f>SUM([2]Sheet1!Q29,[2]Sheet1!Q63,[2]Sheet1!Q97,[2]Sheet1!Q131)</f>
        <v>2452317.6107869637</v>
      </c>
      <c r="R25" s="8">
        <f>SUM([2]Sheet1!R29,[2]Sheet1!R63,[2]Sheet1!R97,[2]Sheet1!R131)</f>
        <v>2539363.2227157126</v>
      </c>
      <c r="S25" s="8">
        <f>SUM([2]Sheet1!S29,[2]Sheet1!S63,[2]Sheet1!S97,[2]Sheet1!S131)</f>
        <v>2618476.1925114365</v>
      </c>
      <c r="T25" s="8"/>
      <c r="U25" s="8"/>
      <c r="V25" s="8"/>
      <c r="W25" s="8"/>
      <c r="X25" s="8"/>
      <c r="Y25" s="8"/>
      <c r="Z25" s="8"/>
      <c r="AA25" s="8"/>
      <c r="AB25" s="8"/>
      <c r="AC25" s="8"/>
      <c r="AD25" s="8"/>
      <c r="AE25" s="8"/>
    </row>
    <row r="26" spans="2:31">
      <c r="B26" s="4" t="s">
        <v>479</v>
      </c>
      <c r="C26" s="4" t="s">
        <v>469</v>
      </c>
      <c r="D26" s="8">
        <f>SUM([2]Sheet1!D30,[2]Sheet1!D64,[2]Sheet1!D98,[2]Sheet1!D132)</f>
        <v>1642096.0319126931</v>
      </c>
      <c r="E26" s="8">
        <f>SUM([2]Sheet1!E30,[2]Sheet1!E64,[2]Sheet1!E98,[2]Sheet1!E132)</f>
        <v>1648393.6499930636</v>
      </c>
      <c r="F26" s="8">
        <f>SUM([2]Sheet1!F30,[2]Sheet1!F64,[2]Sheet1!F98,[2]Sheet1!F132)</f>
        <v>1647080.5279278457</v>
      </c>
      <c r="G26" s="8">
        <f>SUM([2]Sheet1!G30,[2]Sheet1!G64,[2]Sheet1!G98,[2]Sheet1!G132)</f>
        <v>1641368.6063667263</v>
      </c>
      <c r="H26" s="8">
        <f>SUM([2]Sheet1!H30,[2]Sheet1!H64,[2]Sheet1!H98,[2]Sheet1!H132)</f>
        <v>1631613.6750165252</v>
      </c>
      <c r="I26" s="8">
        <f>SUM([2]Sheet1!I30,[2]Sheet1!I64,[2]Sheet1!I98,[2]Sheet1!I132)</f>
        <v>1628201.3243612831</v>
      </c>
      <c r="J26" s="8">
        <f>SUM([2]Sheet1!J30,[2]Sheet1!J64,[2]Sheet1!J98,[2]Sheet1!J132)</f>
        <v>1635076.4155470517</v>
      </c>
      <c r="K26" s="8">
        <f>SUM([2]Sheet1!K30,[2]Sheet1!K64,[2]Sheet1!K98,[2]Sheet1!K132)</f>
        <v>1650240.4194820663</v>
      </c>
      <c r="L26" s="8">
        <f>SUM([2]Sheet1!L30,[2]Sheet1!L64,[2]Sheet1!L98,[2]Sheet1!L132)</f>
        <v>1672263.0024591764</v>
      </c>
      <c r="M26" s="8">
        <f>SUM([2]Sheet1!M30,[2]Sheet1!M64,[2]Sheet1!M98,[2]Sheet1!M132)</f>
        <v>1701559.395333298</v>
      </c>
      <c r="N26" s="8">
        <f>SUM([2]Sheet1!N30,[2]Sheet1!N64,[2]Sheet1!N98,[2]Sheet1!N132)</f>
        <v>1734822.4567588056</v>
      </c>
      <c r="O26" s="8">
        <f>SUM([2]Sheet1!O30,[2]Sheet1!O64,[2]Sheet1!O98,[2]Sheet1!O132)</f>
        <v>1774881.7709789607</v>
      </c>
      <c r="P26" s="8">
        <f>SUM([2]Sheet1!P30,[2]Sheet1!P64,[2]Sheet1!P98,[2]Sheet1!P132)</f>
        <v>1824490.1330635822</v>
      </c>
      <c r="Q26" s="8">
        <f>SUM([2]Sheet1!Q30,[2]Sheet1!Q64,[2]Sheet1!Q98,[2]Sheet1!Q132)</f>
        <v>1889949.5009571237</v>
      </c>
      <c r="R26" s="8">
        <f>SUM([2]Sheet1!R30,[2]Sheet1!R64,[2]Sheet1!R98,[2]Sheet1!R132)</f>
        <v>1988075.9628010623</v>
      </c>
      <c r="S26" s="8">
        <f>SUM([2]Sheet1!S30,[2]Sheet1!S64,[2]Sheet1!S98,[2]Sheet1!S132)</f>
        <v>2100757.0553932535</v>
      </c>
      <c r="T26" s="8"/>
      <c r="U26" s="8"/>
      <c r="V26" s="8"/>
      <c r="W26" s="8"/>
      <c r="X26" s="8"/>
      <c r="Y26" s="8"/>
      <c r="Z26" s="8"/>
      <c r="AA26" s="8"/>
      <c r="AB26" s="8"/>
      <c r="AC26" s="8"/>
      <c r="AD26" s="8"/>
      <c r="AE26" s="8"/>
    </row>
    <row r="27" spans="2:31">
      <c r="B27" s="4" t="s">
        <v>479</v>
      </c>
      <c r="C27" s="4" t="s">
        <v>470</v>
      </c>
      <c r="D27" s="8">
        <f>SUM([2]Sheet1!D31,[2]Sheet1!D65,[2]Sheet1!D99,[2]Sheet1!D133)</f>
        <v>1402027.6533103944</v>
      </c>
      <c r="E27" s="8">
        <f>SUM([2]Sheet1!E31,[2]Sheet1!E65,[2]Sheet1!E99,[2]Sheet1!E133)</f>
        <v>1426047.7995350808</v>
      </c>
      <c r="F27" s="8">
        <f>SUM([2]Sheet1!F31,[2]Sheet1!F65,[2]Sheet1!F99,[2]Sheet1!F133)</f>
        <v>1446181.6642364541</v>
      </c>
      <c r="G27" s="8">
        <f>SUM([2]Sheet1!G31,[2]Sheet1!G65,[2]Sheet1!G99,[2]Sheet1!G133)</f>
        <v>1462550.4670548316</v>
      </c>
      <c r="H27" s="8">
        <f>SUM([2]Sheet1!H31,[2]Sheet1!H65,[2]Sheet1!H99,[2]Sheet1!H133)</f>
        <v>1475326.5846899678</v>
      </c>
      <c r="I27" s="8">
        <f>SUM([2]Sheet1!I31,[2]Sheet1!I65,[2]Sheet1!I99,[2]Sheet1!I133)</f>
        <v>1480037.3834871426</v>
      </c>
      <c r="J27" s="8">
        <f>SUM([2]Sheet1!J31,[2]Sheet1!J65,[2]Sheet1!J99,[2]Sheet1!J133)</f>
        <v>1482362.1489303811</v>
      </c>
      <c r="K27" s="8">
        <f>SUM([2]Sheet1!K31,[2]Sheet1!K65,[2]Sheet1!K99,[2]Sheet1!K133)</f>
        <v>1482190.3740225662</v>
      </c>
      <c r="L27" s="8">
        <f>SUM([2]Sheet1!L31,[2]Sheet1!L65,[2]Sheet1!L99,[2]Sheet1!L133)</f>
        <v>1485350.6397509773</v>
      </c>
      <c r="M27" s="8">
        <f>SUM([2]Sheet1!M31,[2]Sheet1!M65,[2]Sheet1!M99,[2]Sheet1!M133)</f>
        <v>1491688.9758731932</v>
      </c>
      <c r="N27" s="8">
        <f>SUM([2]Sheet1!N31,[2]Sheet1!N65,[2]Sheet1!N99,[2]Sheet1!N133)</f>
        <v>1504514.6858033591</v>
      </c>
      <c r="O27" s="8">
        <f>SUM([2]Sheet1!O31,[2]Sheet1!O65,[2]Sheet1!O99,[2]Sheet1!O133)</f>
        <v>1526365.4917804026</v>
      </c>
      <c r="P27" s="8">
        <f>SUM([2]Sheet1!P31,[2]Sheet1!P65,[2]Sheet1!P99,[2]Sheet1!P133)</f>
        <v>1555757.569276219</v>
      </c>
      <c r="Q27" s="8">
        <f>SUM([2]Sheet1!Q31,[2]Sheet1!Q65,[2]Sheet1!Q99,[2]Sheet1!Q133)</f>
        <v>1588360.6352088826</v>
      </c>
      <c r="R27" s="8">
        <f>SUM([2]Sheet1!R31,[2]Sheet1!R65,[2]Sheet1!R99,[2]Sheet1!R133)</f>
        <v>1625854.9578729572</v>
      </c>
      <c r="S27" s="8">
        <f>SUM([2]Sheet1!S31,[2]Sheet1!S65,[2]Sheet1!S99,[2]Sheet1!S133)</f>
        <v>1667342.4943241491</v>
      </c>
      <c r="T27" s="8"/>
      <c r="U27" s="8"/>
      <c r="V27" s="8"/>
      <c r="W27" s="8"/>
      <c r="X27" s="8"/>
      <c r="Y27" s="8"/>
      <c r="Z27" s="8"/>
      <c r="AA27" s="8"/>
      <c r="AB27" s="8"/>
      <c r="AC27" s="8"/>
      <c r="AD27" s="8"/>
      <c r="AE27" s="8"/>
    </row>
    <row r="28" spans="2:31">
      <c r="B28" s="4" t="s">
        <v>479</v>
      </c>
      <c r="C28" s="4" t="s">
        <v>471</v>
      </c>
      <c r="D28" s="8">
        <f>SUM([2]Sheet1!D32,[2]Sheet1!D66,[2]Sheet1!D100,[2]Sheet1!D134)</f>
        <v>1185286.6686835042</v>
      </c>
      <c r="E28" s="8">
        <f>SUM([2]Sheet1!E32,[2]Sheet1!E66,[2]Sheet1!E100,[2]Sheet1!E134)</f>
        <v>1212180.0515144523</v>
      </c>
      <c r="F28" s="8">
        <f>SUM([2]Sheet1!F32,[2]Sheet1!F66,[2]Sheet1!F100,[2]Sheet1!F134)</f>
        <v>1229803.7698387392</v>
      </c>
      <c r="G28" s="8">
        <f>SUM([2]Sheet1!G32,[2]Sheet1!G66,[2]Sheet1!G100,[2]Sheet1!G134)</f>
        <v>1244678.3021730746</v>
      </c>
      <c r="H28" s="8">
        <f>SUM([2]Sheet1!H32,[2]Sheet1!H66,[2]Sheet1!H100,[2]Sheet1!H134)</f>
        <v>1257151.5344251695</v>
      </c>
      <c r="I28" s="8">
        <f>SUM([2]Sheet1!I32,[2]Sheet1!I66,[2]Sheet1!I100,[2]Sheet1!I134)</f>
        <v>1276536.1545844849</v>
      </c>
      <c r="J28" s="8">
        <f>SUM([2]Sheet1!J32,[2]Sheet1!J66,[2]Sheet1!J100,[2]Sheet1!J134)</f>
        <v>1295031.4997696059</v>
      </c>
      <c r="K28" s="8">
        <f>SUM([2]Sheet1!K32,[2]Sheet1!K66,[2]Sheet1!K100,[2]Sheet1!K134)</f>
        <v>1313293.3848658907</v>
      </c>
      <c r="L28" s="8">
        <f>SUM([2]Sheet1!L32,[2]Sheet1!L66,[2]Sheet1!L100,[2]Sheet1!L134)</f>
        <v>1332685.5720439134</v>
      </c>
      <c r="M28" s="8">
        <f>SUM([2]Sheet1!M32,[2]Sheet1!M66,[2]Sheet1!M100,[2]Sheet1!M134)</f>
        <v>1353404.6592401951</v>
      </c>
      <c r="N28" s="8">
        <f>SUM([2]Sheet1!N32,[2]Sheet1!N66,[2]Sheet1!N100,[2]Sheet1!N134)</f>
        <v>1367540.3781677291</v>
      </c>
      <c r="O28" s="8">
        <f>SUM([2]Sheet1!O32,[2]Sheet1!O66,[2]Sheet1!O100,[2]Sheet1!O134)</f>
        <v>1379252.9572288836</v>
      </c>
      <c r="P28" s="8">
        <f>SUM([2]Sheet1!P32,[2]Sheet1!P66,[2]Sheet1!P100,[2]Sheet1!P134)</f>
        <v>1389633.6552545663</v>
      </c>
      <c r="Q28" s="8">
        <f>SUM([2]Sheet1!Q32,[2]Sheet1!Q66,[2]Sheet1!Q100,[2]Sheet1!Q134)</f>
        <v>1400866.5597875512</v>
      </c>
      <c r="R28" s="8">
        <f>SUM([2]Sheet1!R32,[2]Sheet1!R66,[2]Sheet1!R100,[2]Sheet1!R134)</f>
        <v>1413409.8626961482</v>
      </c>
      <c r="S28" s="8">
        <f>SUM([2]Sheet1!S32,[2]Sheet1!S66,[2]Sheet1!S100,[2]Sheet1!S134)</f>
        <v>1431997.4800720459</v>
      </c>
      <c r="T28" s="8"/>
      <c r="U28" s="8"/>
      <c r="V28" s="8"/>
      <c r="W28" s="8"/>
      <c r="X28" s="8"/>
      <c r="Y28" s="8"/>
      <c r="Z28" s="8"/>
      <c r="AA28" s="8"/>
      <c r="AB28" s="8"/>
      <c r="AC28" s="8"/>
      <c r="AD28" s="8"/>
      <c r="AE28" s="8"/>
    </row>
    <row r="29" spans="2:31">
      <c r="B29" s="4" t="s">
        <v>479</v>
      </c>
      <c r="C29" s="4" t="s">
        <v>472</v>
      </c>
      <c r="D29" s="8">
        <f>SUM([2]Sheet1!D33,[2]Sheet1!D67,[2]Sheet1!D101,[2]Sheet1!D135)</f>
        <v>949477.85179764708</v>
      </c>
      <c r="E29" s="8">
        <f>SUM([2]Sheet1!E33,[2]Sheet1!E67,[2]Sheet1!E101,[2]Sheet1!E135)</f>
        <v>976492.80186084006</v>
      </c>
      <c r="F29" s="8">
        <f>SUM([2]Sheet1!F33,[2]Sheet1!F67,[2]Sheet1!F101,[2]Sheet1!F135)</f>
        <v>1005786.1024701957</v>
      </c>
      <c r="G29" s="8">
        <f>SUM([2]Sheet1!G33,[2]Sheet1!G67,[2]Sheet1!G101,[2]Sheet1!G135)</f>
        <v>1031518.1793366233</v>
      </c>
      <c r="H29" s="8">
        <f>SUM([2]Sheet1!H33,[2]Sheet1!H67,[2]Sheet1!H101,[2]Sheet1!H135)</f>
        <v>1053524.1967533669</v>
      </c>
      <c r="I29" s="8">
        <f>SUM([2]Sheet1!I33,[2]Sheet1!I67,[2]Sheet1!I101,[2]Sheet1!I135)</f>
        <v>1073534.8238687986</v>
      </c>
      <c r="J29" s="8">
        <f>SUM([2]Sheet1!J33,[2]Sheet1!J67,[2]Sheet1!J101,[2]Sheet1!J135)</f>
        <v>1096342.3754344778</v>
      </c>
      <c r="K29" s="8">
        <f>SUM([2]Sheet1!K33,[2]Sheet1!K67,[2]Sheet1!K101,[2]Sheet1!K135)</f>
        <v>1113999.7931359564</v>
      </c>
      <c r="L29" s="8">
        <f>SUM([2]Sheet1!L33,[2]Sheet1!L67,[2]Sheet1!L101,[2]Sheet1!L135)</f>
        <v>1132558.8040899944</v>
      </c>
      <c r="M29" s="8">
        <f>SUM([2]Sheet1!M33,[2]Sheet1!M67,[2]Sheet1!M101,[2]Sheet1!M135)</f>
        <v>1151946.2506453583</v>
      </c>
      <c r="N29" s="8">
        <f>SUM([2]Sheet1!N33,[2]Sheet1!N67,[2]Sheet1!N101,[2]Sheet1!N135)</f>
        <v>1177523.7123978955</v>
      </c>
      <c r="O29" s="8">
        <f>SUM([2]Sheet1!O33,[2]Sheet1!O67,[2]Sheet1!O101,[2]Sheet1!O135)</f>
        <v>1201280.2350876799</v>
      </c>
      <c r="P29" s="8">
        <f>SUM([2]Sheet1!P33,[2]Sheet1!P67,[2]Sheet1!P101,[2]Sheet1!P135)</f>
        <v>1225141.2891459153</v>
      </c>
      <c r="Q29" s="8">
        <f>SUM([2]Sheet1!Q33,[2]Sheet1!Q67,[2]Sheet1!Q101,[2]Sheet1!Q135)</f>
        <v>1249018.712737343</v>
      </c>
      <c r="R29" s="8">
        <f>SUM([2]Sheet1!R33,[2]Sheet1!R67,[2]Sheet1!R101,[2]Sheet1!R135)</f>
        <v>1273231.8512455069</v>
      </c>
      <c r="S29" s="8">
        <f>SUM([2]Sheet1!S33,[2]Sheet1!S67,[2]Sheet1!S101,[2]Sheet1!S135)</f>
        <v>1291517.6332961721</v>
      </c>
      <c r="T29" s="8"/>
      <c r="U29" s="8"/>
      <c r="V29" s="8"/>
      <c r="W29" s="8"/>
      <c r="X29" s="8"/>
      <c r="Y29" s="8"/>
      <c r="Z29" s="8"/>
      <c r="AA29" s="8"/>
      <c r="AB29" s="8"/>
      <c r="AC29" s="8"/>
      <c r="AD29" s="8"/>
      <c r="AE29" s="8"/>
    </row>
    <row r="30" spans="2:31">
      <c r="B30" s="4" t="s">
        <v>479</v>
      </c>
      <c r="C30" s="4" t="s">
        <v>473</v>
      </c>
      <c r="D30" s="8">
        <f>SUM([2]Sheet1!D34,[2]Sheet1!D68,[2]Sheet1!D102,[2]Sheet1!D136)</f>
        <v>722286.31152572401</v>
      </c>
      <c r="E30" s="8">
        <f>SUM([2]Sheet1!E34,[2]Sheet1!E68,[2]Sheet1!E102,[2]Sheet1!E136)</f>
        <v>751445.26964750851</v>
      </c>
      <c r="F30" s="8">
        <f>SUM([2]Sheet1!F34,[2]Sheet1!F68,[2]Sheet1!F102,[2]Sheet1!F136)</f>
        <v>780700.01735918457</v>
      </c>
      <c r="G30" s="8">
        <f>SUM([2]Sheet1!G34,[2]Sheet1!G68,[2]Sheet1!G102,[2]Sheet1!G136)</f>
        <v>808676.66620096704</v>
      </c>
      <c r="H30" s="8">
        <f>SUM([2]Sheet1!H34,[2]Sheet1!H68,[2]Sheet1!H102,[2]Sheet1!H136)</f>
        <v>835139.93541952025</v>
      </c>
      <c r="I30" s="8">
        <f>SUM([2]Sheet1!I34,[2]Sheet1!I68,[2]Sheet1!I102,[2]Sheet1!I136)</f>
        <v>860929.8657717224</v>
      </c>
      <c r="J30" s="8">
        <f>SUM([2]Sheet1!J34,[2]Sheet1!J68,[2]Sheet1!J102,[2]Sheet1!J136)</f>
        <v>884138.63359455473</v>
      </c>
      <c r="K30" s="8">
        <f>SUM([2]Sheet1!K34,[2]Sheet1!K68,[2]Sheet1!K102,[2]Sheet1!K136)</f>
        <v>911154.6441733609</v>
      </c>
      <c r="L30" s="8">
        <f>SUM([2]Sheet1!L34,[2]Sheet1!L68,[2]Sheet1!L102,[2]Sheet1!L136)</f>
        <v>937038.00349771907</v>
      </c>
      <c r="M30" s="8">
        <f>SUM([2]Sheet1!M34,[2]Sheet1!M68,[2]Sheet1!M102,[2]Sheet1!M136)</f>
        <v>961567.6688079806</v>
      </c>
      <c r="N30" s="8">
        <f>SUM([2]Sheet1!N34,[2]Sheet1!N68,[2]Sheet1!N102,[2]Sheet1!N136)</f>
        <v>984498.89171542064</v>
      </c>
      <c r="O30" s="8">
        <f>SUM([2]Sheet1!O34,[2]Sheet1!O68,[2]Sheet1!O102,[2]Sheet1!O136)</f>
        <v>1009743.010148451</v>
      </c>
      <c r="P30" s="8">
        <f>SUM([2]Sheet1!P34,[2]Sheet1!P68,[2]Sheet1!P102,[2]Sheet1!P136)</f>
        <v>1030315.2787757871</v>
      </c>
      <c r="Q30" s="8">
        <f>SUM([2]Sheet1!Q34,[2]Sheet1!Q68,[2]Sheet1!Q102,[2]Sheet1!Q136)</f>
        <v>1051283.4096340458</v>
      </c>
      <c r="R30" s="8">
        <f>SUM([2]Sheet1!R34,[2]Sheet1!R68,[2]Sheet1!R102,[2]Sheet1!R136)</f>
        <v>1072703.858067486</v>
      </c>
      <c r="S30" s="8">
        <f>SUM([2]Sheet1!S34,[2]Sheet1!S68,[2]Sheet1!S102,[2]Sheet1!S136)</f>
        <v>1100143.2667125042</v>
      </c>
      <c r="T30" s="8"/>
      <c r="U30" s="8"/>
      <c r="V30" s="8"/>
      <c r="W30" s="8"/>
      <c r="X30" s="8"/>
      <c r="Y30" s="8"/>
      <c r="Z30" s="8"/>
      <c r="AA30" s="8"/>
      <c r="AB30" s="8"/>
      <c r="AC30" s="8"/>
      <c r="AD30" s="8"/>
      <c r="AE30" s="8"/>
    </row>
    <row r="31" spans="2:31">
      <c r="B31" s="4" t="s">
        <v>479</v>
      </c>
      <c r="C31" s="4" t="s">
        <v>474</v>
      </c>
      <c r="D31" s="8">
        <f>SUM([2]Sheet1!D35,[2]Sheet1!D69,[2]Sheet1!D103,[2]Sheet1!D137)</f>
        <v>579859.29014261323</v>
      </c>
      <c r="E31" s="8">
        <f>SUM([2]Sheet1!E35,[2]Sheet1!E69,[2]Sheet1!E103,[2]Sheet1!E137)</f>
        <v>586477.31331067183</v>
      </c>
      <c r="F31" s="8">
        <f>SUM([2]Sheet1!F35,[2]Sheet1!F69,[2]Sheet1!F103,[2]Sheet1!F137)</f>
        <v>595533.83680261485</v>
      </c>
      <c r="G31" s="8">
        <f>SUM([2]Sheet1!G35,[2]Sheet1!G69,[2]Sheet1!G103,[2]Sheet1!G137)</f>
        <v>608700.04422071343</v>
      </c>
      <c r="H31" s="8">
        <f>SUM([2]Sheet1!H35,[2]Sheet1!H69,[2]Sheet1!H103,[2]Sheet1!H137)</f>
        <v>626289.22538925754</v>
      </c>
      <c r="I31" s="8">
        <f>SUM([2]Sheet1!I35,[2]Sheet1!I69,[2]Sheet1!I103,[2]Sheet1!I137)</f>
        <v>647565.07854951243</v>
      </c>
      <c r="J31" s="8">
        <f>SUM([2]Sheet1!J35,[2]Sheet1!J69,[2]Sheet1!J103,[2]Sheet1!J137)</f>
        <v>672946.84471890365</v>
      </c>
      <c r="K31" s="8">
        <f>SUM([2]Sheet1!K35,[2]Sheet1!K69,[2]Sheet1!K103,[2]Sheet1!K137)</f>
        <v>699478.09910990647</v>
      </c>
      <c r="L31" s="8">
        <f>SUM([2]Sheet1!L35,[2]Sheet1!L69,[2]Sheet1!L103,[2]Sheet1!L137)</f>
        <v>725921.38743100991</v>
      </c>
      <c r="M31" s="8">
        <f>SUM([2]Sheet1!M35,[2]Sheet1!M69,[2]Sheet1!M103,[2]Sheet1!M137)</f>
        <v>752044.31814723578</v>
      </c>
      <c r="N31" s="8">
        <f>SUM([2]Sheet1!N35,[2]Sheet1!N69,[2]Sheet1!N103,[2]Sheet1!N137)</f>
        <v>777887.54297075444</v>
      </c>
      <c r="O31" s="8">
        <f>SUM([2]Sheet1!O35,[2]Sheet1!O69,[2]Sheet1!O103,[2]Sheet1!O137)</f>
        <v>801253.22127470886</v>
      </c>
      <c r="P31" s="8">
        <f>SUM([2]Sheet1!P35,[2]Sheet1!P69,[2]Sheet1!P103,[2]Sheet1!P137)</f>
        <v>828062.99635831313</v>
      </c>
      <c r="Q31" s="8">
        <f>SUM([2]Sheet1!Q35,[2]Sheet1!Q69,[2]Sheet1!Q103,[2]Sheet1!Q137)</f>
        <v>853879.26115851279</v>
      </c>
      <c r="R31" s="8">
        <f>SUM([2]Sheet1!R35,[2]Sheet1!R69,[2]Sheet1!R103,[2]Sheet1!R137)</f>
        <v>878542.47269662272</v>
      </c>
      <c r="S31" s="8">
        <f>SUM([2]Sheet1!S35,[2]Sheet1!S69,[2]Sheet1!S103,[2]Sheet1!S137)</f>
        <v>902078.93905384885</v>
      </c>
      <c r="T31" s="8"/>
      <c r="U31" s="8"/>
      <c r="V31" s="8"/>
      <c r="W31" s="8"/>
      <c r="X31" s="8"/>
      <c r="Y31" s="8"/>
      <c r="Z31" s="8"/>
      <c r="AA31" s="8"/>
      <c r="AB31" s="8"/>
      <c r="AC31" s="8"/>
      <c r="AD31" s="8"/>
      <c r="AE31" s="8"/>
    </row>
    <row r="32" spans="2:31">
      <c r="B32" s="4" t="s">
        <v>479</v>
      </c>
      <c r="C32" s="4" t="s">
        <v>475</v>
      </c>
      <c r="D32" s="8">
        <f>SUM([2]Sheet1!D36,[2]Sheet1!D70,[2]Sheet1!D104,[2]Sheet1!D138)</f>
        <v>474393.72675805382</v>
      </c>
      <c r="E32" s="8">
        <f>SUM([2]Sheet1!E36,[2]Sheet1!E70,[2]Sheet1!E104,[2]Sheet1!E138)</f>
        <v>481697.57829761948</v>
      </c>
      <c r="F32" s="8">
        <f>SUM([2]Sheet1!F36,[2]Sheet1!F70,[2]Sheet1!F104,[2]Sheet1!F138)</f>
        <v>489029.48482408392</v>
      </c>
      <c r="G32" s="8">
        <f>SUM([2]Sheet1!G36,[2]Sheet1!G70,[2]Sheet1!G104,[2]Sheet1!G138)</f>
        <v>495387.36403490871</v>
      </c>
      <c r="H32" s="8">
        <f>SUM([2]Sheet1!H36,[2]Sheet1!H70,[2]Sheet1!H104,[2]Sheet1!H138)</f>
        <v>500270.85879412753</v>
      </c>
      <c r="I32" s="8">
        <f>SUM([2]Sheet1!I36,[2]Sheet1!I70,[2]Sheet1!I104,[2]Sheet1!I138)</f>
        <v>505209.03593906056</v>
      </c>
      <c r="J32" s="8">
        <f>SUM([2]Sheet1!J36,[2]Sheet1!J70,[2]Sheet1!J104,[2]Sheet1!J138)</f>
        <v>510586.15628505149</v>
      </c>
      <c r="K32" s="8">
        <f>SUM([2]Sheet1!K36,[2]Sheet1!K70,[2]Sheet1!K104,[2]Sheet1!K138)</f>
        <v>518760.87387394276</v>
      </c>
      <c r="L32" s="8">
        <f>SUM([2]Sheet1!L36,[2]Sheet1!L70,[2]Sheet1!L104,[2]Sheet1!L138)</f>
        <v>531047.17987147928</v>
      </c>
      <c r="M32" s="8">
        <f>SUM([2]Sheet1!M36,[2]Sheet1!M70,[2]Sheet1!M104,[2]Sheet1!M138)</f>
        <v>547708.14483689226</v>
      </c>
      <c r="N32" s="8">
        <f>SUM([2]Sheet1!N36,[2]Sheet1!N70,[2]Sheet1!N104,[2]Sheet1!N138)</f>
        <v>567858.4387986362</v>
      </c>
      <c r="O32" s="8">
        <f>SUM([2]Sheet1!O36,[2]Sheet1!O70,[2]Sheet1!O104,[2]Sheet1!O138)</f>
        <v>591642.34661036427</v>
      </c>
      <c r="P32" s="8">
        <f>SUM([2]Sheet1!P36,[2]Sheet1!P70,[2]Sheet1!P104,[2]Sheet1!P138)</f>
        <v>616439.74896170851</v>
      </c>
      <c r="Q32" s="8">
        <f>SUM([2]Sheet1!Q36,[2]Sheet1!Q70,[2]Sheet1!Q104,[2]Sheet1!Q138)</f>
        <v>641350.96363445348</v>
      </c>
      <c r="R32" s="8">
        <f>SUM([2]Sheet1!R36,[2]Sheet1!R70,[2]Sheet1!R104,[2]Sheet1!R138)</f>
        <v>666207.04724138102</v>
      </c>
      <c r="S32" s="8">
        <f>SUM([2]Sheet1!S36,[2]Sheet1!S70,[2]Sheet1!S104,[2]Sheet1!S138)</f>
        <v>691114.03464364796</v>
      </c>
      <c r="T32" s="8"/>
      <c r="U32" s="8"/>
      <c r="V32" s="8"/>
      <c r="W32" s="8"/>
      <c r="X32" s="8"/>
      <c r="Y32" s="8"/>
      <c r="Z32" s="8"/>
      <c r="AA32" s="8"/>
      <c r="AB32" s="8"/>
      <c r="AC32" s="8"/>
      <c r="AD32" s="8"/>
      <c r="AE32" s="8"/>
    </row>
    <row r="33" spans="2:31">
      <c r="B33" s="4" t="s">
        <v>479</v>
      </c>
      <c r="C33" s="4" t="s">
        <v>476</v>
      </c>
      <c r="D33" s="8">
        <f>SUM([2]Sheet1!D37,[2]Sheet1!D71,[2]Sheet1!D105,[2]Sheet1!D139)</f>
        <v>371655.21540191141</v>
      </c>
      <c r="E33" s="8">
        <f>SUM([2]Sheet1!E37,[2]Sheet1!E71,[2]Sheet1!E105,[2]Sheet1!E139)</f>
        <v>374262.55318544857</v>
      </c>
      <c r="F33" s="8">
        <f>SUM([2]Sheet1!F37,[2]Sheet1!F71,[2]Sheet1!F105,[2]Sheet1!F139)</f>
        <v>377635.5146412683</v>
      </c>
      <c r="G33" s="8">
        <f>SUM([2]Sheet1!G37,[2]Sheet1!G71,[2]Sheet1!G105,[2]Sheet1!G139)</f>
        <v>381662.8191563515</v>
      </c>
      <c r="H33" s="8">
        <f>SUM([2]Sheet1!H37,[2]Sheet1!H71,[2]Sheet1!H105,[2]Sheet1!H139)</f>
        <v>386126.63213597931</v>
      </c>
      <c r="I33" s="8">
        <f>SUM([2]Sheet1!I37,[2]Sheet1!I71,[2]Sheet1!I105,[2]Sheet1!I139)</f>
        <v>390986.28367846907</v>
      </c>
      <c r="J33" s="8">
        <f>SUM([2]Sheet1!J37,[2]Sheet1!J71,[2]Sheet1!J105,[2]Sheet1!J139)</f>
        <v>397112.5560582694</v>
      </c>
      <c r="K33" s="8">
        <f>SUM([2]Sheet1!K37,[2]Sheet1!K71,[2]Sheet1!K105,[2]Sheet1!K139)</f>
        <v>403599.78575393872</v>
      </c>
      <c r="L33" s="8">
        <f>SUM([2]Sheet1!L37,[2]Sheet1!L71,[2]Sheet1!L105,[2]Sheet1!L139)</f>
        <v>409495.85077769245</v>
      </c>
      <c r="M33" s="8">
        <f>SUM([2]Sheet1!M37,[2]Sheet1!M71,[2]Sheet1!M105,[2]Sheet1!M139)</f>
        <v>414417.79793791129</v>
      </c>
      <c r="N33" s="8">
        <f>SUM([2]Sheet1!N37,[2]Sheet1!N71,[2]Sheet1!N105,[2]Sheet1!N139)</f>
        <v>419591.22075584409</v>
      </c>
      <c r="O33" s="8">
        <f>SUM([2]Sheet1!O37,[2]Sheet1!O71,[2]Sheet1!O105,[2]Sheet1!O139)</f>
        <v>425242.68091680575</v>
      </c>
      <c r="P33" s="8">
        <f>SUM([2]Sheet1!P37,[2]Sheet1!P71,[2]Sheet1!P105,[2]Sheet1!P139)</f>
        <v>433225.90586201468</v>
      </c>
      <c r="Q33" s="8">
        <f>SUM([2]Sheet1!Q37,[2]Sheet1!Q71,[2]Sheet1!Q105,[2]Sheet1!Q139)</f>
        <v>444868.43200232444</v>
      </c>
      <c r="R33" s="8">
        <f>SUM([2]Sheet1!R37,[2]Sheet1!R71,[2]Sheet1!R105,[2]Sheet1!R139)</f>
        <v>460368.13310133852</v>
      </c>
      <c r="S33" s="8">
        <f>SUM([2]Sheet1!S37,[2]Sheet1!S71,[2]Sheet1!S105,[2]Sheet1!S139)</f>
        <v>478972.09715614852</v>
      </c>
      <c r="T33" s="8"/>
      <c r="U33" s="8"/>
      <c r="V33" s="8"/>
      <c r="W33" s="8"/>
      <c r="X33" s="8"/>
      <c r="Y33" s="8"/>
      <c r="Z33" s="8"/>
      <c r="AA33" s="8"/>
      <c r="AB33" s="8"/>
      <c r="AC33" s="8"/>
      <c r="AD33" s="8"/>
      <c r="AE33" s="8"/>
    </row>
    <row r="34" spans="2:31">
      <c r="B34" s="4" t="s">
        <v>479</v>
      </c>
      <c r="C34" s="4" t="s">
        <v>477</v>
      </c>
      <c r="D34" s="8">
        <f>SUM([2]Sheet1!D38,[2]Sheet1!D72,[2]Sheet1!D106,[2]Sheet1!D140)</f>
        <v>273180.08970414061</v>
      </c>
      <c r="E34" s="8">
        <f>SUM([2]Sheet1!E38,[2]Sheet1!E72,[2]Sheet1!E106,[2]Sheet1!E140)</f>
        <v>274237.92090230854</v>
      </c>
      <c r="F34" s="8">
        <f>SUM([2]Sheet1!F38,[2]Sheet1!F72,[2]Sheet1!F106,[2]Sheet1!F140)</f>
        <v>275250.01956567977</v>
      </c>
      <c r="G34" s="8">
        <f>SUM([2]Sheet1!G38,[2]Sheet1!G72,[2]Sheet1!G106,[2]Sheet1!G140)</f>
        <v>276531.01584473439</v>
      </c>
      <c r="H34" s="8">
        <f>SUM([2]Sheet1!H38,[2]Sheet1!H72,[2]Sheet1!H106,[2]Sheet1!H140)</f>
        <v>278983.34139684984</v>
      </c>
      <c r="I34" s="8">
        <f>SUM([2]Sheet1!I38,[2]Sheet1!I72,[2]Sheet1!I106,[2]Sheet1!I140)</f>
        <v>280838.122807534</v>
      </c>
      <c r="J34" s="8">
        <f>SUM([2]Sheet1!J38,[2]Sheet1!J72,[2]Sheet1!J106,[2]Sheet1!J140)</f>
        <v>282987.5980975742</v>
      </c>
      <c r="K34" s="8">
        <f>SUM([2]Sheet1!K38,[2]Sheet1!K72,[2]Sheet1!K106,[2]Sheet1!K140)</f>
        <v>285919.23505151883</v>
      </c>
      <c r="L34" s="8">
        <f>SUM([2]Sheet1!L38,[2]Sheet1!L72,[2]Sheet1!L106,[2]Sheet1!L140)</f>
        <v>289540.11717371951</v>
      </c>
      <c r="M34" s="8">
        <f>SUM([2]Sheet1!M38,[2]Sheet1!M72,[2]Sheet1!M106,[2]Sheet1!M140)</f>
        <v>293762.26792329334</v>
      </c>
      <c r="N34" s="8">
        <f>SUM([2]Sheet1!N38,[2]Sheet1!N72,[2]Sheet1!N106,[2]Sheet1!N140)</f>
        <v>298556.00785643142</v>
      </c>
      <c r="O34" s="8">
        <f>SUM([2]Sheet1!O38,[2]Sheet1!O72,[2]Sheet1!O106,[2]Sheet1!O140)</f>
        <v>304423.30081952002</v>
      </c>
      <c r="P34" s="8">
        <f>SUM([2]Sheet1!P38,[2]Sheet1!P72,[2]Sheet1!P106,[2]Sheet1!P140)</f>
        <v>310506.63758250891</v>
      </c>
      <c r="Q34" s="8">
        <f>SUM([2]Sheet1!Q38,[2]Sheet1!Q72,[2]Sheet1!Q106,[2]Sheet1!Q140)</f>
        <v>316277.6135772444</v>
      </c>
      <c r="R34" s="8">
        <f>SUM([2]Sheet1!R38,[2]Sheet1!R72,[2]Sheet1!R106,[2]Sheet1!R140)</f>
        <v>321439.12865788431</v>
      </c>
      <c r="S34" s="8">
        <f>SUM([2]Sheet1!S38,[2]Sheet1!S72,[2]Sheet1!S106,[2]Sheet1!S140)</f>
        <v>326870.72170895565</v>
      </c>
      <c r="T34" s="8"/>
      <c r="U34" s="8"/>
      <c r="V34" s="8"/>
      <c r="W34" s="8"/>
      <c r="X34" s="8"/>
      <c r="Y34" s="8"/>
      <c r="Z34" s="8"/>
      <c r="AA34" s="8"/>
      <c r="AB34" s="8"/>
      <c r="AC34" s="8"/>
      <c r="AD34" s="8"/>
      <c r="AE34" s="8"/>
    </row>
    <row r="35" spans="2:31">
      <c r="B35" s="4" t="s">
        <v>479</v>
      </c>
      <c r="C35" s="4" t="s">
        <v>478</v>
      </c>
      <c r="D35" s="8">
        <f>SUM([2]Sheet1!D39,[2]Sheet1!D73,[2]Sheet1!D107,[2]Sheet1!D141)</f>
        <v>279694.58470269787</v>
      </c>
      <c r="E35" s="8">
        <f>SUM([2]Sheet1!E39,[2]Sheet1!E73,[2]Sheet1!E107,[2]Sheet1!E141)</f>
        <v>285227.91579977877</v>
      </c>
      <c r="F35" s="8">
        <f>SUM([2]Sheet1!F39,[2]Sheet1!F73,[2]Sheet1!F107,[2]Sheet1!F141)</f>
        <v>290369.87766233098</v>
      </c>
      <c r="G35" s="8">
        <f>SUM([2]Sheet1!G39,[2]Sheet1!G73,[2]Sheet1!G107,[2]Sheet1!G141)</f>
        <v>295228.92253892811</v>
      </c>
      <c r="H35" s="8">
        <f>SUM([2]Sheet1!H39,[2]Sheet1!H73,[2]Sheet1!H107,[2]Sheet1!H141)</f>
        <v>299361.22032538132</v>
      </c>
      <c r="I35" s="8">
        <f>SUM([2]Sheet1!I39,[2]Sheet1!I73,[2]Sheet1!I107,[2]Sheet1!I141)</f>
        <v>303288.75716719771</v>
      </c>
      <c r="J35" s="8">
        <f>SUM([2]Sheet1!J39,[2]Sheet1!J73,[2]Sheet1!J107,[2]Sheet1!J141)</f>
        <v>307157.49394098669</v>
      </c>
      <c r="K35" s="8">
        <f>SUM([2]Sheet1!K39,[2]Sheet1!K73,[2]Sheet1!K107,[2]Sheet1!K141)</f>
        <v>310937.40360830061</v>
      </c>
      <c r="L35" s="8">
        <f>SUM([2]Sheet1!L39,[2]Sheet1!L73,[2]Sheet1!L107,[2]Sheet1!L141)</f>
        <v>314828.56950708933</v>
      </c>
      <c r="M35" s="8">
        <f>SUM([2]Sheet1!M39,[2]Sheet1!M73,[2]Sheet1!M107,[2]Sheet1!M141)</f>
        <v>319165.179527862</v>
      </c>
      <c r="N35" s="8">
        <f>SUM([2]Sheet1!N39,[2]Sheet1!N73,[2]Sheet1!N107,[2]Sheet1!N141)</f>
        <v>323218.44711834996</v>
      </c>
      <c r="O35" s="8">
        <f>SUM([2]Sheet1!O39,[2]Sheet1!O73,[2]Sheet1!O107,[2]Sheet1!O141)</f>
        <v>327531.57993903878</v>
      </c>
      <c r="P35" s="8">
        <f>SUM([2]Sheet1!P39,[2]Sheet1!P73,[2]Sheet1!P107,[2]Sheet1!P141)</f>
        <v>332295.40131270327</v>
      </c>
      <c r="Q35" s="8">
        <f>SUM([2]Sheet1!Q39,[2]Sheet1!Q73,[2]Sheet1!Q107,[2]Sheet1!Q141)</f>
        <v>337931.54167997243</v>
      </c>
      <c r="R35" s="8">
        <f>SUM([2]Sheet1!R39,[2]Sheet1!R73,[2]Sheet1!R107,[2]Sheet1!R141)</f>
        <v>344537.119596206</v>
      </c>
      <c r="S35" s="8">
        <f>SUM([2]Sheet1!S39,[2]Sheet1!S73,[2]Sheet1!S107,[2]Sheet1!S141)</f>
        <v>351469.05435617641</v>
      </c>
      <c r="T35" s="8"/>
      <c r="U35" s="8"/>
      <c r="V35" s="8"/>
      <c r="W35" s="8"/>
      <c r="X35" s="8"/>
      <c r="Y35" s="8"/>
      <c r="Z35" s="8"/>
      <c r="AA35" s="8"/>
      <c r="AB35" s="8"/>
      <c r="AC35" s="8"/>
      <c r="AD35" s="8"/>
      <c r="AE35" s="8"/>
    </row>
    <row r="36" spans="2:31">
      <c r="B36" s="4" t="s">
        <v>238</v>
      </c>
      <c r="C36" s="4" t="s">
        <v>462</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463</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464</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465</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466</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467</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468</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469</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470</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471</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472</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473</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474</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475</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476</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477</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478</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408</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2"/>
  <sheetViews>
    <sheetView topLeftCell="A144" workbookViewId="0">
      <selection activeCell="B163" sqref="B163"/>
    </sheetView>
  </sheetViews>
  <sheetFormatPr defaultColWidth="8.7109375" defaultRowHeight="15"/>
  <cols>
    <col min="1" max="16384" width="8.7109375" style="225"/>
  </cols>
  <sheetData>
    <row r="4" spans="1:40">
      <c r="A4" s="225" t="s">
        <v>644</v>
      </c>
    </row>
    <row r="5" spans="1:40">
      <c r="B5" s="36">
        <v>2012</v>
      </c>
      <c r="C5" s="36">
        <v>2013</v>
      </c>
      <c r="D5" s="36">
        <v>2014</v>
      </c>
      <c r="E5" s="36">
        <v>2015</v>
      </c>
      <c r="F5" s="36">
        <v>2016</v>
      </c>
      <c r="G5" s="36">
        <v>2017</v>
      </c>
      <c r="H5" s="36">
        <v>2018</v>
      </c>
      <c r="I5" s="36">
        <v>2019</v>
      </c>
      <c r="J5" s="36">
        <v>2020</v>
      </c>
      <c r="K5" s="36">
        <v>2021</v>
      </c>
      <c r="L5" s="36">
        <v>2022</v>
      </c>
      <c r="M5" s="36">
        <v>2023</v>
      </c>
      <c r="N5" s="36">
        <v>2024</v>
      </c>
      <c r="O5" s="36">
        <v>2025</v>
      </c>
      <c r="P5" s="36">
        <v>2026</v>
      </c>
      <c r="Q5" s="36">
        <v>2027</v>
      </c>
      <c r="R5" s="36">
        <v>2028</v>
      </c>
      <c r="S5" s="36">
        <v>2029</v>
      </c>
      <c r="T5" s="36">
        <v>2030</v>
      </c>
      <c r="U5" s="36">
        <v>2031</v>
      </c>
      <c r="V5" s="36">
        <v>2032</v>
      </c>
      <c r="W5" s="36">
        <v>2033</v>
      </c>
      <c r="X5" s="36">
        <v>2034</v>
      </c>
      <c r="Y5" s="36">
        <v>2035</v>
      </c>
      <c r="Z5" s="36">
        <v>2036</v>
      </c>
      <c r="AA5" s="36">
        <v>2037</v>
      </c>
      <c r="AB5" s="36">
        <v>2038</v>
      </c>
      <c r="AC5" s="225">
        <v>2039</v>
      </c>
      <c r="AD5" s="225">
        <v>2040</v>
      </c>
      <c r="AE5" s="225">
        <v>2041</v>
      </c>
      <c r="AF5" s="225">
        <v>2042</v>
      </c>
      <c r="AG5" s="225">
        <v>2043</v>
      </c>
      <c r="AH5" s="225">
        <v>2044</v>
      </c>
      <c r="AI5" s="225">
        <v>2045</v>
      </c>
      <c r="AJ5" s="225">
        <v>2046</v>
      </c>
      <c r="AK5" s="225">
        <v>2047</v>
      </c>
      <c r="AL5" s="225">
        <v>2048</v>
      </c>
      <c r="AM5" s="225">
        <v>2049</v>
      </c>
      <c r="AN5" s="225">
        <v>2050</v>
      </c>
    </row>
    <row r="6" spans="1:40">
      <c r="A6" s="36" t="s">
        <v>551</v>
      </c>
      <c r="B6" s="225">
        <v>27.52</v>
      </c>
      <c r="C6" s="225">
        <v>27.49</v>
      </c>
      <c r="D6" s="225">
        <v>27.45</v>
      </c>
      <c r="E6" s="225">
        <v>27.42</v>
      </c>
      <c r="F6" s="225">
        <v>27.39</v>
      </c>
      <c r="G6" s="225">
        <v>27.36</v>
      </c>
      <c r="H6" s="225">
        <v>27.33</v>
      </c>
      <c r="I6" s="225">
        <v>27.24</v>
      </c>
      <c r="J6" s="225">
        <v>27.16</v>
      </c>
      <c r="K6" s="225">
        <v>26.07</v>
      </c>
      <c r="L6" s="225">
        <v>25.79</v>
      </c>
      <c r="M6" s="225">
        <v>25.7</v>
      </c>
      <c r="N6" s="225">
        <v>25.62</v>
      </c>
      <c r="O6" s="225">
        <v>24.83</v>
      </c>
      <c r="P6" s="225">
        <v>22.54</v>
      </c>
      <c r="Q6" s="225">
        <v>20.239999999999998</v>
      </c>
      <c r="R6" s="225">
        <v>17.95</v>
      </c>
      <c r="S6" s="225">
        <v>15.66</v>
      </c>
      <c r="T6" s="225">
        <v>13.37</v>
      </c>
      <c r="U6" s="225">
        <v>12.37</v>
      </c>
      <c r="V6" s="225">
        <v>11.37</v>
      </c>
      <c r="W6" s="225">
        <v>10.37</v>
      </c>
      <c r="X6" s="10">
        <v>9.3699999999999992</v>
      </c>
      <c r="Y6" s="24">
        <v>8.41</v>
      </c>
      <c r="Z6" s="225">
        <v>7.24</v>
      </c>
      <c r="AA6" s="225">
        <v>6.06</v>
      </c>
      <c r="AB6" s="225">
        <v>4.88</v>
      </c>
      <c r="AC6" s="225">
        <v>3.7</v>
      </c>
      <c r="AD6" s="225">
        <v>2.52</v>
      </c>
      <c r="AE6" s="225">
        <v>2.52</v>
      </c>
      <c r="AF6" s="225">
        <v>2.52</v>
      </c>
      <c r="AG6" s="225">
        <v>2.52</v>
      </c>
      <c r="AH6" s="225">
        <v>2.52</v>
      </c>
      <c r="AI6" s="225">
        <v>2.52</v>
      </c>
      <c r="AJ6" s="225">
        <v>2.52</v>
      </c>
      <c r="AK6" s="225">
        <v>2.52</v>
      </c>
      <c r="AL6" s="225">
        <v>2.52</v>
      </c>
      <c r="AM6" s="225">
        <v>2.52</v>
      </c>
      <c r="AN6" s="225">
        <v>2.52</v>
      </c>
    </row>
    <row r="7" spans="1:40">
      <c r="A7" s="36" t="s">
        <v>635</v>
      </c>
      <c r="B7" s="225">
        <v>0</v>
      </c>
      <c r="C7" s="225">
        <v>0</v>
      </c>
      <c r="D7" s="225">
        <v>0</v>
      </c>
      <c r="E7" s="225">
        <v>0</v>
      </c>
      <c r="F7" s="225">
        <v>0</v>
      </c>
      <c r="G7" s="225">
        <v>0</v>
      </c>
      <c r="H7" s="225">
        <v>0</v>
      </c>
      <c r="I7" s="225">
        <v>0</v>
      </c>
      <c r="J7" s="225">
        <v>0</v>
      </c>
      <c r="K7" s="225">
        <v>0</v>
      </c>
      <c r="L7" s="225">
        <v>0</v>
      </c>
      <c r="M7" s="225">
        <v>0</v>
      </c>
      <c r="N7" s="225">
        <v>0</v>
      </c>
      <c r="O7" s="225">
        <v>0</v>
      </c>
      <c r="P7" s="225">
        <v>0</v>
      </c>
      <c r="Q7" s="225">
        <v>0</v>
      </c>
      <c r="R7" s="225">
        <v>0</v>
      </c>
      <c r="S7" s="225">
        <v>0.63</v>
      </c>
      <c r="T7" s="225">
        <v>1.1000000000000001</v>
      </c>
      <c r="U7" s="225">
        <v>1.62</v>
      </c>
      <c r="V7" s="225">
        <v>2.14</v>
      </c>
      <c r="W7" s="225">
        <v>2.65</v>
      </c>
      <c r="X7" s="225">
        <v>3.15</v>
      </c>
      <c r="Y7" s="225">
        <v>3.95</v>
      </c>
      <c r="Z7" s="225">
        <v>4.43</v>
      </c>
      <c r="AA7" s="225">
        <v>4.9000000000000004</v>
      </c>
      <c r="AB7" s="225">
        <v>5.38</v>
      </c>
      <c r="AC7" s="225">
        <v>5.86</v>
      </c>
      <c r="AD7" s="225">
        <v>6.34</v>
      </c>
      <c r="AE7" s="225">
        <v>6.79</v>
      </c>
      <c r="AF7" s="225">
        <v>7.25</v>
      </c>
      <c r="AG7" s="225">
        <v>7.7</v>
      </c>
      <c r="AH7" s="225">
        <v>8.15</v>
      </c>
      <c r="AI7" s="225">
        <v>8.6</v>
      </c>
      <c r="AJ7" s="225">
        <v>8.86</v>
      </c>
      <c r="AK7" s="225">
        <v>9.1199999999999992</v>
      </c>
      <c r="AL7" s="225">
        <v>9.3800000000000008</v>
      </c>
      <c r="AM7" s="225">
        <v>9.64</v>
      </c>
      <c r="AN7" s="225">
        <v>9.9</v>
      </c>
    </row>
    <row r="8" spans="1:40">
      <c r="A8" s="36" t="s">
        <v>138</v>
      </c>
      <c r="B8" s="225">
        <v>69.819999999999993</v>
      </c>
      <c r="C8" s="225">
        <v>72.77</v>
      </c>
      <c r="D8" s="225">
        <v>75.510000000000005</v>
      </c>
      <c r="E8" s="225">
        <v>74.36</v>
      </c>
      <c r="F8" s="225">
        <v>73.55</v>
      </c>
      <c r="G8" s="225">
        <v>76</v>
      </c>
      <c r="H8" s="225">
        <v>74.78</v>
      </c>
      <c r="I8" s="225">
        <v>73.53</v>
      </c>
      <c r="J8" s="225">
        <v>70.959999999999994</v>
      </c>
      <c r="K8" s="225">
        <v>72.959999999999994</v>
      </c>
      <c r="L8" s="225">
        <v>75</v>
      </c>
      <c r="M8" s="225">
        <v>76.52</v>
      </c>
      <c r="N8" s="225">
        <v>77.900000000000006</v>
      </c>
      <c r="O8" s="225">
        <v>79.13</v>
      </c>
      <c r="P8" s="225">
        <v>81.150000000000006</v>
      </c>
      <c r="Q8" s="225">
        <v>83.06</v>
      </c>
      <c r="R8" s="225">
        <v>85</v>
      </c>
      <c r="S8" s="225">
        <v>86.79</v>
      </c>
      <c r="T8" s="225">
        <v>88.61</v>
      </c>
      <c r="U8" s="225">
        <v>90.52</v>
      </c>
      <c r="V8" s="225">
        <v>92.22</v>
      </c>
      <c r="W8" s="225">
        <v>94</v>
      </c>
      <c r="X8" s="225">
        <v>95.83</v>
      </c>
      <c r="Y8" s="225">
        <v>97.69</v>
      </c>
      <c r="Z8" s="225">
        <v>99.72</v>
      </c>
      <c r="AA8" s="225">
        <v>101.85</v>
      </c>
      <c r="AB8" s="225">
        <v>104.02</v>
      </c>
      <c r="AC8" s="225">
        <v>106.26</v>
      </c>
      <c r="AD8" s="225">
        <v>108.6</v>
      </c>
      <c r="AE8" s="225">
        <v>110.85</v>
      </c>
      <c r="AF8" s="225">
        <v>113.14</v>
      </c>
      <c r="AG8" s="225">
        <v>115.46</v>
      </c>
      <c r="AH8" s="225">
        <v>117.97</v>
      </c>
      <c r="AI8" s="225">
        <v>120.7</v>
      </c>
      <c r="AJ8" s="225">
        <v>123.56</v>
      </c>
      <c r="AK8" s="225">
        <v>126.62</v>
      </c>
      <c r="AL8" s="225">
        <v>129.62</v>
      </c>
      <c r="AM8" s="225">
        <v>132.85</v>
      </c>
      <c r="AN8" s="225">
        <v>136.25</v>
      </c>
    </row>
    <row r="9" spans="1:40">
      <c r="A9" s="36" t="s">
        <v>4</v>
      </c>
      <c r="B9" s="225">
        <v>1833.85</v>
      </c>
      <c r="C9" s="225">
        <v>1884.55</v>
      </c>
      <c r="D9" s="225">
        <v>1927.88</v>
      </c>
      <c r="E9" s="225">
        <v>1957.41</v>
      </c>
      <c r="F9" s="225">
        <v>1982.72</v>
      </c>
      <c r="G9" s="225">
        <v>2007.4</v>
      </c>
      <c r="H9" s="225">
        <v>2036.6</v>
      </c>
      <c r="I9" s="225">
        <v>2071.14</v>
      </c>
      <c r="J9" s="225">
        <v>1915.6</v>
      </c>
      <c r="K9" s="225">
        <v>1960.19</v>
      </c>
      <c r="L9" s="225">
        <v>2004.23</v>
      </c>
      <c r="M9" s="225">
        <v>2048.11</v>
      </c>
      <c r="N9" s="225">
        <v>2091.16</v>
      </c>
      <c r="O9" s="225">
        <v>2135.91</v>
      </c>
      <c r="P9" s="225">
        <v>2188.48</v>
      </c>
      <c r="Q9" s="225">
        <v>2240.58</v>
      </c>
      <c r="R9" s="225">
        <v>2295.15</v>
      </c>
      <c r="S9" s="225">
        <v>2351.59</v>
      </c>
      <c r="T9" s="225">
        <v>2409.79</v>
      </c>
      <c r="U9" s="225">
        <v>2477.56</v>
      </c>
      <c r="V9" s="225">
        <v>2544.31</v>
      </c>
      <c r="W9" s="225">
        <v>2617.34</v>
      </c>
      <c r="X9" s="225">
        <v>2695.68</v>
      </c>
      <c r="Y9" s="225">
        <v>2779.08</v>
      </c>
      <c r="Z9" s="225">
        <v>2866.42</v>
      </c>
      <c r="AA9" s="225">
        <v>2957.38</v>
      </c>
      <c r="AB9" s="225">
        <v>3050.01</v>
      </c>
      <c r="AC9" s="225">
        <v>3146.53</v>
      </c>
      <c r="AD9" s="225">
        <v>3249.04</v>
      </c>
      <c r="AE9" s="225">
        <v>3355.38</v>
      </c>
      <c r="AF9" s="225">
        <v>3466.6</v>
      </c>
      <c r="AG9" s="225">
        <v>3582.52</v>
      </c>
      <c r="AH9" s="225">
        <v>3703.15</v>
      </c>
      <c r="AI9" s="225">
        <v>3831.42</v>
      </c>
      <c r="AJ9" s="225">
        <v>3966.01</v>
      </c>
      <c r="AK9" s="225">
        <v>4107.3999999999996</v>
      </c>
      <c r="AL9" s="225">
        <v>4251</v>
      </c>
      <c r="AM9" s="225">
        <v>4401.6400000000003</v>
      </c>
      <c r="AN9" s="225">
        <v>4560.04</v>
      </c>
    </row>
    <row r="10" spans="1:40">
      <c r="A10" s="36" t="s">
        <v>631</v>
      </c>
      <c r="B10" s="225">
        <v>11.26</v>
      </c>
      <c r="C10" s="225">
        <v>11.57</v>
      </c>
      <c r="D10" s="225">
        <v>11.91</v>
      </c>
      <c r="E10" s="225">
        <v>12.12</v>
      </c>
      <c r="F10" s="225">
        <v>12.2</v>
      </c>
      <c r="G10" s="225">
        <v>12.36</v>
      </c>
      <c r="H10" s="225">
        <v>12.64</v>
      </c>
      <c r="I10" s="225">
        <v>12.79</v>
      </c>
      <c r="J10" s="225">
        <v>12</v>
      </c>
      <c r="K10" s="225">
        <v>12.34</v>
      </c>
      <c r="L10" s="225">
        <v>12.61</v>
      </c>
      <c r="M10" s="225">
        <v>12.86</v>
      </c>
      <c r="N10" s="225">
        <v>13.09</v>
      </c>
      <c r="O10" s="225">
        <v>13.32</v>
      </c>
      <c r="P10" s="225">
        <v>13.6</v>
      </c>
      <c r="Q10" s="225">
        <v>13.87</v>
      </c>
      <c r="R10" s="225">
        <v>14.15</v>
      </c>
      <c r="S10" s="225">
        <v>14.45</v>
      </c>
      <c r="T10" s="225">
        <v>14.74</v>
      </c>
      <c r="U10" s="225">
        <v>15.11</v>
      </c>
      <c r="V10" s="225">
        <v>15.46</v>
      </c>
      <c r="W10" s="225">
        <v>15.83</v>
      </c>
      <c r="X10" s="225">
        <v>16.22</v>
      </c>
      <c r="Y10" s="225">
        <v>16.63</v>
      </c>
      <c r="Z10" s="225">
        <v>17.04</v>
      </c>
      <c r="AA10" s="225">
        <v>17.47</v>
      </c>
      <c r="AB10" s="225">
        <v>17.89</v>
      </c>
      <c r="AC10" s="225">
        <v>18.329999999999998</v>
      </c>
      <c r="AD10" s="225">
        <v>18.8</v>
      </c>
      <c r="AE10" s="225">
        <v>19.29</v>
      </c>
      <c r="AF10" s="225">
        <v>19.79</v>
      </c>
      <c r="AG10" s="225">
        <v>20.29</v>
      </c>
      <c r="AH10" s="225">
        <v>20.8</v>
      </c>
      <c r="AI10" s="225">
        <v>21.32</v>
      </c>
      <c r="AJ10" s="225">
        <v>21.84</v>
      </c>
      <c r="AK10" s="225">
        <v>22.38</v>
      </c>
      <c r="AL10" s="225">
        <v>22.91</v>
      </c>
      <c r="AM10" s="225">
        <v>23.46</v>
      </c>
      <c r="AN10" s="225">
        <v>24.05</v>
      </c>
    </row>
    <row r="11" spans="1:40">
      <c r="A11" s="36" t="s">
        <v>630</v>
      </c>
      <c r="B11" s="225">
        <v>135.96</v>
      </c>
      <c r="C11" s="225">
        <v>139.72999999999999</v>
      </c>
      <c r="D11" s="225">
        <v>142.69999999999999</v>
      </c>
      <c r="E11" s="225">
        <v>144.16</v>
      </c>
      <c r="F11" s="225">
        <v>145.31</v>
      </c>
      <c r="G11" s="225">
        <v>147.16</v>
      </c>
      <c r="H11" s="225">
        <v>148.75</v>
      </c>
      <c r="I11" s="225">
        <v>149.16999999999999</v>
      </c>
      <c r="J11" s="225">
        <v>138.22</v>
      </c>
      <c r="K11" s="225">
        <v>141.11000000000001</v>
      </c>
      <c r="L11" s="225">
        <v>144.02000000000001</v>
      </c>
      <c r="M11" s="225">
        <v>146.85</v>
      </c>
      <c r="N11" s="225">
        <v>149.56</v>
      </c>
      <c r="O11" s="225">
        <v>152.32</v>
      </c>
      <c r="P11" s="225">
        <v>155.71</v>
      </c>
      <c r="Q11" s="225">
        <v>158.9</v>
      </c>
      <c r="R11" s="225">
        <v>162.26</v>
      </c>
      <c r="S11" s="225">
        <v>165.94</v>
      </c>
      <c r="T11" s="225">
        <v>169.63</v>
      </c>
      <c r="U11" s="225">
        <v>174.19</v>
      </c>
      <c r="V11" s="225">
        <v>178.43</v>
      </c>
      <c r="W11" s="225">
        <v>183.19</v>
      </c>
      <c r="X11" s="225">
        <v>188.3</v>
      </c>
      <c r="Y11" s="225">
        <v>193.91</v>
      </c>
      <c r="Z11" s="225">
        <v>199.62</v>
      </c>
      <c r="AA11" s="225">
        <v>205.55</v>
      </c>
      <c r="AB11" s="225">
        <v>211.53</v>
      </c>
      <c r="AC11" s="225">
        <v>217.76</v>
      </c>
      <c r="AD11" s="225">
        <v>224.36</v>
      </c>
      <c r="AE11" s="225">
        <v>231.21</v>
      </c>
      <c r="AF11" s="225">
        <v>238.37</v>
      </c>
      <c r="AG11" s="225">
        <v>245.82</v>
      </c>
      <c r="AH11" s="225">
        <v>253.64</v>
      </c>
      <c r="AI11" s="225">
        <v>261.98</v>
      </c>
      <c r="AJ11" s="225">
        <v>270.7</v>
      </c>
      <c r="AK11" s="225">
        <v>279.86</v>
      </c>
      <c r="AL11" s="225">
        <v>289.08</v>
      </c>
      <c r="AM11" s="225">
        <v>298.81</v>
      </c>
      <c r="AN11" s="225">
        <v>309.06</v>
      </c>
    </row>
    <row r="12" spans="1:40">
      <c r="A12" s="36" t="s">
        <v>629</v>
      </c>
      <c r="B12" s="225">
        <v>21.15</v>
      </c>
      <c r="C12" s="225">
        <v>22.37</v>
      </c>
      <c r="D12" s="225">
        <v>23.86</v>
      </c>
      <c r="E12" s="225">
        <v>24.79</v>
      </c>
      <c r="F12" s="225">
        <v>25.39</v>
      </c>
      <c r="G12" s="225">
        <v>26.91</v>
      </c>
      <c r="H12" s="225">
        <v>28.69</v>
      </c>
      <c r="I12" s="225">
        <v>29.81</v>
      </c>
      <c r="J12" s="225">
        <v>28.74</v>
      </c>
      <c r="K12" s="225">
        <v>30.06</v>
      </c>
      <c r="L12" s="225">
        <v>31.41</v>
      </c>
      <c r="M12" s="225">
        <v>32.79</v>
      </c>
      <c r="N12" s="225">
        <v>34.18</v>
      </c>
      <c r="O12" s="225">
        <v>35.74</v>
      </c>
      <c r="P12" s="225">
        <v>37.880000000000003</v>
      </c>
      <c r="Q12" s="225">
        <v>40.24</v>
      </c>
      <c r="R12" s="225">
        <v>42.9</v>
      </c>
      <c r="S12" s="225">
        <v>45.9</v>
      </c>
      <c r="T12" s="225">
        <v>49.13</v>
      </c>
      <c r="U12" s="225">
        <v>52.76</v>
      </c>
      <c r="V12" s="225">
        <v>56.4</v>
      </c>
      <c r="W12" s="225">
        <v>60.42</v>
      </c>
      <c r="X12" s="225">
        <v>64.709999999999994</v>
      </c>
      <c r="Y12" s="225">
        <v>69.47</v>
      </c>
      <c r="Z12" s="225">
        <v>74.56</v>
      </c>
      <c r="AA12" s="225">
        <v>79.92</v>
      </c>
      <c r="AB12" s="225">
        <v>85.44</v>
      </c>
      <c r="AC12" s="225">
        <v>91.27</v>
      </c>
      <c r="AD12" s="225">
        <v>97.47</v>
      </c>
      <c r="AE12" s="225">
        <v>103.66</v>
      </c>
      <c r="AF12" s="225">
        <v>109.94</v>
      </c>
      <c r="AG12" s="225">
        <v>116.29</v>
      </c>
      <c r="AH12" s="225">
        <v>122.76</v>
      </c>
      <c r="AI12" s="225">
        <v>129.41999999999999</v>
      </c>
      <c r="AJ12" s="225">
        <v>136.13999999999999</v>
      </c>
      <c r="AK12" s="225">
        <v>142.99</v>
      </c>
      <c r="AL12" s="225">
        <v>149.66</v>
      </c>
      <c r="AM12" s="225">
        <v>156.57</v>
      </c>
      <c r="AN12" s="225">
        <v>163.72</v>
      </c>
    </row>
    <row r="13" spans="1:40">
      <c r="A13" s="36" t="s">
        <v>632</v>
      </c>
      <c r="B13" s="225">
        <v>1.1399999999999999</v>
      </c>
      <c r="C13" s="225">
        <v>1.1599999999999999</v>
      </c>
      <c r="D13" s="225">
        <v>1.1399999999999999</v>
      </c>
      <c r="E13" s="225">
        <v>1.1299999999999999</v>
      </c>
      <c r="F13" s="225">
        <v>1.1499999999999999</v>
      </c>
      <c r="G13" s="225">
        <v>1.1499999999999999</v>
      </c>
      <c r="H13" s="225">
        <v>1.1200000000000001</v>
      </c>
      <c r="I13" s="225">
        <v>1.0900000000000001</v>
      </c>
      <c r="J13" s="225">
        <v>0.99</v>
      </c>
      <c r="K13" s="225">
        <v>0.99</v>
      </c>
      <c r="L13" s="225">
        <v>1</v>
      </c>
      <c r="M13" s="225">
        <v>1.02</v>
      </c>
      <c r="N13" s="225">
        <v>1.03</v>
      </c>
      <c r="O13" s="225">
        <v>1.05</v>
      </c>
      <c r="P13" s="225">
        <v>1.07</v>
      </c>
      <c r="Q13" s="225">
        <v>1.0900000000000001</v>
      </c>
      <c r="R13" s="225">
        <v>1.1100000000000001</v>
      </c>
      <c r="S13" s="225">
        <v>1.1399999999999999</v>
      </c>
      <c r="T13" s="225">
        <v>1.1599999999999999</v>
      </c>
      <c r="U13" s="225">
        <v>1.2</v>
      </c>
      <c r="V13" s="225">
        <v>1.23</v>
      </c>
      <c r="W13" s="225">
        <v>1.27</v>
      </c>
      <c r="X13" s="225">
        <v>1.31</v>
      </c>
      <c r="Y13" s="225">
        <v>1.36</v>
      </c>
      <c r="Z13" s="225">
        <v>1.42</v>
      </c>
      <c r="AA13" s="225">
        <v>1.47</v>
      </c>
      <c r="AB13" s="225">
        <v>1.53</v>
      </c>
      <c r="AC13" s="225">
        <v>1.58</v>
      </c>
      <c r="AD13" s="225">
        <v>1.65</v>
      </c>
      <c r="AE13" s="225">
        <v>1.71</v>
      </c>
      <c r="AF13" s="225">
        <v>1.79</v>
      </c>
      <c r="AG13" s="225">
        <v>1.87</v>
      </c>
      <c r="AH13" s="225">
        <v>1.95</v>
      </c>
      <c r="AI13" s="225">
        <v>2.0499999999999998</v>
      </c>
      <c r="AJ13" s="225">
        <v>2.16</v>
      </c>
      <c r="AK13" s="225">
        <v>2.2799999999999998</v>
      </c>
      <c r="AL13" s="225">
        <v>2.4</v>
      </c>
      <c r="AM13" s="225">
        <v>2.5299999999999998</v>
      </c>
      <c r="AN13" s="225">
        <v>2.66</v>
      </c>
    </row>
    <row r="14" spans="1:40">
      <c r="A14" s="36" t="s">
        <v>547</v>
      </c>
      <c r="B14" s="225">
        <v>52.81</v>
      </c>
      <c r="C14" s="225">
        <v>54.31</v>
      </c>
      <c r="D14" s="225">
        <v>55.26</v>
      </c>
      <c r="E14" s="225">
        <v>55.73</v>
      </c>
      <c r="F14" s="225">
        <v>56.3</v>
      </c>
      <c r="G14" s="225">
        <v>56.6</v>
      </c>
      <c r="H14" s="225">
        <v>57.09</v>
      </c>
      <c r="I14" s="225">
        <v>56.96</v>
      </c>
      <c r="J14" s="225">
        <v>52.37</v>
      </c>
      <c r="K14" s="225">
        <v>53.76</v>
      </c>
      <c r="L14" s="225">
        <v>55.02</v>
      </c>
      <c r="M14" s="225">
        <v>56.21</v>
      </c>
      <c r="N14" s="225">
        <v>57.35</v>
      </c>
      <c r="O14" s="225">
        <v>58.59</v>
      </c>
      <c r="P14" s="225">
        <v>60.17</v>
      </c>
      <c r="Q14" s="225">
        <v>61.72</v>
      </c>
      <c r="R14" s="225">
        <v>63.31</v>
      </c>
      <c r="S14" s="225">
        <v>65.09</v>
      </c>
      <c r="T14" s="225">
        <v>66.930000000000007</v>
      </c>
      <c r="U14" s="225">
        <v>68.83</v>
      </c>
      <c r="V14" s="225">
        <v>70.67</v>
      </c>
      <c r="W14" s="225">
        <v>72.69</v>
      </c>
      <c r="X14" s="225">
        <v>74.849999999999994</v>
      </c>
      <c r="Y14" s="225">
        <v>77.23</v>
      </c>
      <c r="Z14" s="225">
        <v>79.680000000000007</v>
      </c>
      <c r="AA14" s="225">
        <v>82.2</v>
      </c>
      <c r="AB14" s="225">
        <v>84.75</v>
      </c>
      <c r="AC14" s="225">
        <v>87.38</v>
      </c>
      <c r="AD14" s="225">
        <v>90.15</v>
      </c>
      <c r="AE14" s="225">
        <v>92.83</v>
      </c>
      <c r="AF14" s="225">
        <v>95.65</v>
      </c>
      <c r="AG14" s="225">
        <v>98.6</v>
      </c>
      <c r="AH14" s="225">
        <v>101.7</v>
      </c>
      <c r="AI14" s="225">
        <v>105</v>
      </c>
      <c r="AJ14" s="225">
        <v>108.37</v>
      </c>
      <c r="AK14" s="225">
        <v>111.9</v>
      </c>
      <c r="AL14" s="225">
        <v>115.47</v>
      </c>
      <c r="AM14" s="225">
        <v>119.23</v>
      </c>
      <c r="AN14" s="225">
        <v>123.19</v>
      </c>
    </row>
    <row r="15" spans="1:40">
      <c r="A15" s="36" t="s">
        <v>544</v>
      </c>
      <c r="B15" s="225">
        <v>93.1</v>
      </c>
      <c r="C15" s="225">
        <v>94.81</v>
      </c>
      <c r="D15" s="225">
        <v>96.04</v>
      </c>
      <c r="E15" s="225">
        <v>96.13</v>
      </c>
      <c r="F15" s="225">
        <v>97.44</v>
      </c>
      <c r="G15" s="225">
        <v>97.81</v>
      </c>
      <c r="H15" s="225">
        <v>98.48</v>
      </c>
      <c r="I15" s="225">
        <v>97.71</v>
      </c>
      <c r="J15" s="225">
        <v>92.79</v>
      </c>
      <c r="K15" s="225">
        <v>95.58</v>
      </c>
      <c r="L15" s="225">
        <v>98.13</v>
      </c>
      <c r="M15" s="225">
        <v>100.22</v>
      </c>
      <c r="N15" s="225">
        <v>102.18</v>
      </c>
      <c r="O15" s="225">
        <v>104.28</v>
      </c>
      <c r="P15" s="225">
        <v>107.16</v>
      </c>
      <c r="Q15" s="225">
        <v>109.9</v>
      </c>
      <c r="R15" s="225">
        <v>112.65</v>
      </c>
      <c r="S15" s="225">
        <v>115.22</v>
      </c>
      <c r="T15" s="225">
        <v>117.84</v>
      </c>
      <c r="U15" s="225">
        <v>120.44</v>
      </c>
      <c r="V15" s="225">
        <v>122.85</v>
      </c>
      <c r="W15" s="225">
        <v>125.47</v>
      </c>
      <c r="X15" s="225">
        <v>128.21</v>
      </c>
      <c r="Y15" s="225">
        <v>131.01</v>
      </c>
      <c r="Z15" s="225">
        <v>134.12</v>
      </c>
      <c r="AA15" s="225">
        <v>137.33000000000001</v>
      </c>
      <c r="AB15" s="225">
        <v>140.49</v>
      </c>
      <c r="AC15" s="225">
        <v>143.72</v>
      </c>
      <c r="AD15" s="225">
        <v>147.09</v>
      </c>
      <c r="AE15" s="225">
        <v>150.19</v>
      </c>
      <c r="AF15" s="225">
        <v>153.37</v>
      </c>
      <c r="AG15" s="225">
        <v>156.65</v>
      </c>
      <c r="AH15" s="225">
        <v>160.22</v>
      </c>
      <c r="AI15" s="225">
        <v>164.01</v>
      </c>
      <c r="AJ15" s="225">
        <v>167.91</v>
      </c>
      <c r="AK15" s="225">
        <v>171.93</v>
      </c>
      <c r="AL15" s="225">
        <v>175.86</v>
      </c>
      <c r="AM15" s="225">
        <v>180.05</v>
      </c>
      <c r="AN15" s="225">
        <v>184.39</v>
      </c>
    </row>
    <row r="16" spans="1:40">
      <c r="A16" s="36" t="s">
        <v>389</v>
      </c>
      <c r="B16" s="225">
        <v>13.35</v>
      </c>
      <c r="C16" s="225">
        <v>13.74</v>
      </c>
      <c r="D16" s="225">
        <v>13.91</v>
      </c>
      <c r="E16" s="225">
        <v>14.13</v>
      </c>
      <c r="F16" s="225">
        <v>14.15</v>
      </c>
      <c r="G16" s="225">
        <v>14.18</v>
      </c>
      <c r="H16" s="225">
        <v>14.21</v>
      </c>
      <c r="I16" s="225">
        <v>14.08</v>
      </c>
      <c r="J16" s="225">
        <v>12.26</v>
      </c>
      <c r="K16" s="225">
        <v>12.65</v>
      </c>
      <c r="L16" s="225">
        <v>12.9</v>
      </c>
      <c r="M16" s="225">
        <v>13.13</v>
      </c>
      <c r="N16" s="225">
        <v>13.34</v>
      </c>
      <c r="O16" s="225">
        <v>13.63</v>
      </c>
      <c r="P16" s="225">
        <v>14.12</v>
      </c>
      <c r="Q16" s="225">
        <v>14.6</v>
      </c>
      <c r="R16" s="225">
        <v>15.08</v>
      </c>
      <c r="S16" s="225">
        <v>15.43</v>
      </c>
      <c r="T16" s="225">
        <v>15.88</v>
      </c>
      <c r="U16" s="225">
        <v>16.239999999999998</v>
      </c>
      <c r="V16" s="225">
        <v>16.559999999999999</v>
      </c>
      <c r="W16" s="225">
        <v>16.93</v>
      </c>
      <c r="X16" s="225">
        <v>17.34</v>
      </c>
      <c r="Y16" s="225">
        <v>17.73</v>
      </c>
      <c r="Z16" s="225">
        <v>18.190000000000001</v>
      </c>
      <c r="AA16" s="225">
        <v>18.670000000000002</v>
      </c>
      <c r="AB16" s="225">
        <v>19.14</v>
      </c>
      <c r="AC16" s="225">
        <v>19.63</v>
      </c>
      <c r="AD16" s="225">
        <v>20.14</v>
      </c>
      <c r="AE16" s="225">
        <v>20.57</v>
      </c>
      <c r="AF16" s="225">
        <v>21.03</v>
      </c>
      <c r="AG16" s="225">
        <v>21.51</v>
      </c>
      <c r="AH16" s="225">
        <v>22.03</v>
      </c>
      <c r="AI16" s="225">
        <v>22.59</v>
      </c>
      <c r="AJ16" s="225">
        <v>23.19</v>
      </c>
      <c r="AK16" s="225">
        <v>23.82</v>
      </c>
      <c r="AL16" s="225">
        <v>24.47</v>
      </c>
      <c r="AM16" s="225">
        <v>25.16</v>
      </c>
      <c r="AN16" s="225">
        <v>25.89</v>
      </c>
    </row>
    <row r="17" spans="1:40">
      <c r="A17" s="36" t="s">
        <v>388</v>
      </c>
      <c r="B17" s="225">
        <v>205.45</v>
      </c>
      <c r="C17" s="225">
        <v>210.29</v>
      </c>
      <c r="D17" s="225">
        <v>210.09</v>
      </c>
      <c r="E17" s="225">
        <v>214.84</v>
      </c>
      <c r="F17" s="225">
        <v>210.99</v>
      </c>
      <c r="G17" s="225">
        <v>215.85</v>
      </c>
      <c r="H17" s="225">
        <v>213.65</v>
      </c>
      <c r="I17" s="225">
        <v>210.07</v>
      </c>
      <c r="J17" s="225">
        <v>193.07</v>
      </c>
      <c r="K17" s="225">
        <v>196.38</v>
      </c>
      <c r="L17" s="225">
        <v>199.05</v>
      </c>
      <c r="M17" s="225">
        <v>201.54</v>
      </c>
      <c r="N17" s="225">
        <v>203.91</v>
      </c>
      <c r="O17" s="225">
        <v>207.14</v>
      </c>
      <c r="P17" s="225">
        <v>212.19</v>
      </c>
      <c r="Q17" s="225">
        <v>217.65</v>
      </c>
      <c r="R17" s="225">
        <v>223.52</v>
      </c>
      <c r="S17" s="225">
        <v>228.69</v>
      </c>
      <c r="T17" s="225">
        <v>234.66</v>
      </c>
      <c r="U17" s="225">
        <v>240.3</v>
      </c>
      <c r="V17" s="225">
        <v>245.53</v>
      </c>
      <c r="W17" s="225">
        <v>251.1</v>
      </c>
      <c r="X17" s="225">
        <v>256.91000000000003</v>
      </c>
      <c r="Y17" s="225">
        <v>262.83</v>
      </c>
      <c r="Z17" s="225">
        <v>269.37</v>
      </c>
      <c r="AA17" s="225">
        <v>276.17</v>
      </c>
      <c r="AB17" s="225">
        <v>282.98</v>
      </c>
      <c r="AC17" s="225">
        <v>290.05</v>
      </c>
      <c r="AD17" s="225">
        <v>297.62</v>
      </c>
      <c r="AE17" s="225">
        <v>304.49</v>
      </c>
      <c r="AF17" s="225">
        <v>311.5</v>
      </c>
      <c r="AG17" s="225">
        <v>318.7</v>
      </c>
      <c r="AH17" s="225">
        <v>326.24</v>
      </c>
      <c r="AI17" s="225">
        <v>334.31</v>
      </c>
      <c r="AJ17" s="225">
        <v>342.67</v>
      </c>
      <c r="AK17" s="225">
        <v>351.49</v>
      </c>
      <c r="AL17" s="225">
        <v>360.41</v>
      </c>
      <c r="AM17" s="225">
        <v>369.89</v>
      </c>
      <c r="AN17" s="225">
        <v>380</v>
      </c>
    </row>
    <row r="18" spans="1:40">
      <c r="A18" s="36" t="s">
        <v>549</v>
      </c>
      <c r="B18" s="225">
        <v>10.11</v>
      </c>
      <c r="C18" s="225">
        <v>8.43</v>
      </c>
      <c r="D18" s="225">
        <v>7.26</v>
      </c>
      <c r="E18" s="225">
        <v>6.85</v>
      </c>
      <c r="F18" s="225">
        <v>6.43</v>
      </c>
      <c r="G18" s="225">
        <v>5.96</v>
      </c>
      <c r="H18" s="225">
        <v>5.84</v>
      </c>
      <c r="I18" s="225">
        <v>5.52</v>
      </c>
      <c r="J18" s="225">
        <v>4.53</v>
      </c>
      <c r="K18" s="225">
        <v>4.6900000000000004</v>
      </c>
      <c r="L18" s="225">
        <v>4.71</v>
      </c>
      <c r="M18" s="225">
        <v>4.74</v>
      </c>
      <c r="N18" s="225">
        <v>4.7699999999999996</v>
      </c>
      <c r="O18" s="225">
        <v>4.84</v>
      </c>
      <c r="P18" s="225">
        <v>5.01</v>
      </c>
      <c r="Q18" s="225">
        <v>5.21</v>
      </c>
      <c r="R18" s="225">
        <v>5.45</v>
      </c>
      <c r="S18" s="225">
        <v>5.64</v>
      </c>
      <c r="T18" s="225">
        <v>5.88</v>
      </c>
      <c r="U18" s="225">
        <v>6.08</v>
      </c>
      <c r="V18" s="225">
        <v>6.21</v>
      </c>
      <c r="W18" s="225">
        <v>6.36</v>
      </c>
      <c r="X18" s="225">
        <v>6.52</v>
      </c>
      <c r="Y18" s="225">
        <v>6.66</v>
      </c>
      <c r="Z18" s="225">
        <v>6.83</v>
      </c>
      <c r="AA18" s="225">
        <v>7</v>
      </c>
      <c r="AB18" s="225">
        <v>7.17</v>
      </c>
      <c r="AC18" s="225">
        <v>7.34</v>
      </c>
      <c r="AD18" s="225">
        <v>7.52</v>
      </c>
      <c r="AE18" s="225">
        <v>7.63</v>
      </c>
      <c r="AF18" s="225">
        <v>7.74</v>
      </c>
      <c r="AG18" s="225">
        <v>7.85</v>
      </c>
      <c r="AH18" s="225">
        <v>7.96</v>
      </c>
      <c r="AI18" s="225">
        <v>8.08</v>
      </c>
      <c r="AJ18" s="225">
        <v>8.2100000000000009</v>
      </c>
      <c r="AK18" s="225">
        <v>8.35</v>
      </c>
      <c r="AL18" s="225">
        <v>8.49</v>
      </c>
      <c r="AM18" s="225">
        <v>8.65</v>
      </c>
      <c r="AN18" s="225">
        <v>8.82</v>
      </c>
    </row>
    <row r="19" spans="1:40">
      <c r="A19" s="36" t="s">
        <v>548</v>
      </c>
      <c r="B19" s="225">
        <v>14.11</v>
      </c>
      <c r="C19" s="225">
        <v>14.52</v>
      </c>
      <c r="D19" s="225">
        <v>14.79</v>
      </c>
      <c r="E19" s="225">
        <v>15.03</v>
      </c>
      <c r="F19" s="225">
        <v>15.21</v>
      </c>
      <c r="G19" s="225">
        <v>15.35</v>
      </c>
      <c r="H19" s="225">
        <v>15.51</v>
      </c>
      <c r="I19" s="225">
        <v>15.54</v>
      </c>
      <c r="J19" s="225">
        <v>14.21</v>
      </c>
      <c r="K19" s="225">
        <v>14.6</v>
      </c>
      <c r="L19" s="225">
        <v>14.95</v>
      </c>
      <c r="M19" s="225">
        <v>15.3</v>
      </c>
      <c r="N19" s="225">
        <v>15.64</v>
      </c>
      <c r="O19" s="225">
        <v>16</v>
      </c>
      <c r="P19" s="225">
        <v>16.440000000000001</v>
      </c>
      <c r="Q19" s="225">
        <v>16.88</v>
      </c>
      <c r="R19" s="225">
        <v>17.34</v>
      </c>
      <c r="S19" s="225">
        <v>17.8</v>
      </c>
      <c r="T19" s="225">
        <v>18.27</v>
      </c>
      <c r="U19" s="225">
        <v>18.809999999999999</v>
      </c>
      <c r="V19" s="225">
        <v>19.32</v>
      </c>
      <c r="W19" s="225">
        <v>19.88</v>
      </c>
      <c r="X19" s="225">
        <v>20.49</v>
      </c>
      <c r="Y19" s="225">
        <v>21.14</v>
      </c>
      <c r="Z19" s="225">
        <v>21.81</v>
      </c>
      <c r="AA19" s="225">
        <v>22.5</v>
      </c>
      <c r="AB19" s="225">
        <v>23.19</v>
      </c>
      <c r="AC19" s="225">
        <v>23.92</v>
      </c>
      <c r="AD19" s="225">
        <v>24.68</v>
      </c>
      <c r="AE19" s="225">
        <v>25.46</v>
      </c>
      <c r="AF19" s="225">
        <v>26.29</v>
      </c>
      <c r="AG19" s="225">
        <v>27.15</v>
      </c>
      <c r="AH19" s="225">
        <v>28.04</v>
      </c>
      <c r="AI19" s="225">
        <v>28.99</v>
      </c>
      <c r="AJ19" s="225">
        <v>30</v>
      </c>
      <c r="AK19" s="225">
        <v>31.06</v>
      </c>
      <c r="AL19" s="225">
        <v>32.130000000000003</v>
      </c>
      <c r="AM19" s="225">
        <v>33.26</v>
      </c>
      <c r="AN19" s="225">
        <v>34.44</v>
      </c>
    </row>
    <row r="20" spans="1:40">
      <c r="A20" s="36" t="s">
        <v>545</v>
      </c>
      <c r="B20" s="225">
        <v>235.5</v>
      </c>
      <c r="C20" s="225">
        <v>241.63</v>
      </c>
      <c r="D20" s="225">
        <v>245.65</v>
      </c>
      <c r="E20" s="225">
        <v>248.47</v>
      </c>
      <c r="F20" s="225">
        <v>251.07</v>
      </c>
      <c r="G20" s="225">
        <v>252.54</v>
      </c>
      <c r="H20" s="225">
        <v>254.74</v>
      </c>
      <c r="I20" s="225">
        <v>254.67</v>
      </c>
      <c r="J20" s="225">
        <v>230.24</v>
      </c>
      <c r="K20" s="225">
        <v>236.69</v>
      </c>
      <c r="L20" s="225">
        <v>242.59</v>
      </c>
      <c r="M20" s="225">
        <v>248.33</v>
      </c>
      <c r="N20" s="225">
        <v>253.83</v>
      </c>
      <c r="O20" s="225">
        <v>259.61</v>
      </c>
      <c r="P20" s="225">
        <v>266.92</v>
      </c>
      <c r="Q20" s="225">
        <v>274.13</v>
      </c>
      <c r="R20" s="225">
        <v>281.63</v>
      </c>
      <c r="S20" s="225">
        <v>289.23</v>
      </c>
      <c r="T20" s="225">
        <v>297.02</v>
      </c>
      <c r="U20" s="225">
        <v>305.64</v>
      </c>
      <c r="V20" s="225">
        <v>313.91000000000003</v>
      </c>
      <c r="W20" s="225">
        <v>323.06</v>
      </c>
      <c r="X20" s="225">
        <v>332.87</v>
      </c>
      <c r="Y20" s="225">
        <v>343.27</v>
      </c>
      <c r="Z20" s="225">
        <v>354.09</v>
      </c>
      <c r="AA20" s="225">
        <v>365.3</v>
      </c>
      <c r="AB20" s="225">
        <v>376.62</v>
      </c>
      <c r="AC20" s="225">
        <v>388.36</v>
      </c>
      <c r="AD20" s="225">
        <v>400.79</v>
      </c>
      <c r="AE20" s="225">
        <v>413.32</v>
      </c>
      <c r="AF20" s="225">
        <v>426.43</v>
      </c>
      <c r="AG20" s="225">
        <v>440.09</v>
      </c>
      <c r="AH20" s="225">
        <v>454.44</v>
      </c>
      <c r="AI20" s="225">
        <v>469.74</v>
      </c>
      <c r="AJ20" s="225">
        <v>485.82</v>
      </c>
      <c r="AK20" s="225">
        <v>502.71</v>
      </c>
      <c r="AL20" s="225">
        <v>519.79999999999995</v>
      </c>
      <c r="AM20" s="225">
        <v>537.78</v>
      </c>
      <c r="AN20" s="225">
        <v>556.72</v>
      </c>
    </row>
    <row r="21" spans="1:40">
      <c r="A21" s="36" t="s">
        <v>546</v>
      </c>
      <c r="B21" s="225">
        <v>17.78</v>
      </c>
      <c r="C21" s="225">
        <v>18.190000000000001</v>
      </c>
      <c r="D21" s="225">
        <v>18.54</v>
      </c>
      <c r="E21" s="225">
        <v>18.73</v>
      </c>
      <c r="F21" s="225">
        <v>19.13</v>
      </c>
      <c r="G21" s="225">
        <v>19.23</v>
      </c>
      <c r="H21" s="225">
        <v>19.5</v>
      </c>
      <c r="I21" s="225">
        <v>19.52</v>
      </c>
      <c r="J21" s="225">
        <v>18.16</v>
      </c>
      <c r="K21" s="225">
        <v>18.68</v>
      </c>
      <c r="L21" s="225">
        <v>19.149999999999999</v>
      </c>
      <c r="M21" s="225">
        <v>19.61</v>
      </c>
      <c r="N21" s="225">
        <v>20.04</v>
      </c>
      <c r="O21" s="225">
        <v>20.51</v>
      </c>
      <c r="P21" s="225">
        <v>21.11</v>
      </c>
      <c r="Q21" s="225">
        <v>21.69</v>
      </c>
      <c r="R21" s="225">
        <v>22.28</v>
      </c>
      <c r="S21" s="225">
        <v>22.83</v>
      </c>
      <c r="T21" s="225">
        <v>23.42</v>
      </c>
      <c r="U21" s="225">
        <v>24.02</v>
      </c>
      <c r="V21" s="225">
        <v>24.61</v>
      </c>
      <c r="W21" s="225">
        <v>25.26</v>
      </c>
      <c r="X21" s="225">
        <v>25.94</v>
      </c>
      <c r="Y21" s="225">
        <v>26.65</v>
      </c>
      <c r="Z21" s="225">
        <v>27.42</v>
      </c>
      <c r="AA21" s="225">
        <v>28.22</v>
      </c>
      <c r="AB21" s="225">
        <v>29.03</v>
      </c>
      <c r="AC21" s="225">
        <v>29.88</v>
      </c>
      <c r="AD21" s="225">
        <v>30.78</v>
      </c>
      <c r="AE21" s="225">
        <v>31.65</v>
      </c>
      <c r="AF21" s="225">
        <v>32.57</v>
      </c>
      <c r="AG21" s="225">
        <v>33.53</v>
      </c>
      <c r="AH21" s="225">
        <v>34.54</v>
      </c>
      <c r="AI21" s="225">
        <v>35.619999999999997</v>
      </c>
      <c r="AJ21" s="225">
        <v>36.75</v>
      </c>
      <c r="AK21" s="225">
        <v>37.93</v>
      </c>
      <c r="AL21" s="225">
        <v>39.130000000000003</v>
      </c>
      <c r="AM21" s="225">
        <v>40.380000000000003</v>
      </c>
      <c r="AN21" s="225">
        <v>41.7</v>
      </c>
    </row>
    <row r="22" spans="1:40">
      <c r="A22" s="36" t="s">
        <v>636</v>
      </c>
      <c r="B22" s="225">
        <v>66.42</v>
      </c>
      <c r="C22" s="225">
        <v>65.98</v>
      </c>
      <c r="D22" s="225">
        <v>65.72</v>
      </c>
      <c r="E22" s="225">
        <v>65.459999999999994</v>
      </c>
      <c r="F22" s="225">
        <v>64.28</v>
      </c>
      <c r="G22" s="225">
        <v>63.85</v>
      </c>
      <c r="H22" s="225">
        <v>63.13</v>
      </c>
      <c r="I22" s="225">
        <v>62.24</v>
      </c>
      <c r="J22" s="225">
        <v>61.58</v>
      </c>
      <c r="K22" s="225">
        <v>60.37</v>
      </c>
      <c r="L22" s="225">
        <v>60.1</v>
      </c>
      <c r="M22" s="225">
        <v>59.84</v>
      </c>
      <c r="N22" s="225">
        <v>59.34</v>
      </c>
      <c r="O22" s="225">
        <v>58.75</v>
      </c>
      <c r="P22" s="225">
        <v>56.4</v>
      </c>
      <c r="Q22" s="225">
        <v>53.36</v>
      </c>
      <c r="R22" s="225">
        <v>50.36</v>
      </c>
      <c r="S22" s="225">
        <v>46.96</v>
      </c>
      <c r="T22" s="225">
        <v>43.51</v>
      </c>
      <c r="U22" s="225">
        <v>43.76</v>
      </c>
      <c r="V22" s="225">
        <v>42.68</v>
      </c>
      <c r="W22" s="225">
        <v>42.31</v>
      </c>
      <c r="X22" s="225">
        <v>41.94</v>
      </c>
      <c r="Y22" s="225">
        <v>41.15</v>
      </c>
      <c r="Z22" s="225">
        <v>39.86</v>
      </c>
      <c r="AA22" s="225">
        <v>38.57</v>
      </c>
      <c r="AB22" s="225">
        <v>37.28</v>
      </c>
      <c r="AC22" s="225">
        <v>36</v>
      </c>
      <c r="AD22" s="225">
        <v>34.71</v>
      </c>
      <c r="AE22" s="225">
        <v>34.86</v>
      </c>
      <c r="AF22" s="225">
        <v>35.01</v>
      </c>
      <c r="AG22" s="225">
        <v>35.15</v>
      </c>
      <c r="AH22" s="225">
        <v>35.299999999999997</v>
      </c>
      <c r="AI22" s="225">
        <v>35.450000000000003</v>
      </c>
      <c r="AJ22" s="225">
        <v>35.75</v>
      </c>
      <c r="AK22" s="225">
        <v>36.04</v>
      </c>
      <c r="AL22" s="225">
        <v>36.340000000000003</v>
      </c>
      <c r="AM22" s="225">
        <v>36.64</v>
      </c>
      <c r="AN22" s="225">
        <v>36.93</v>
      </c>
    </row>
    <row r="23" spans="1:40">
      <c r="A23" s="36" t="s">
        <v>550</v>
      </c>
      <c r="B23" s="225">
        <v>84.25</v>
      </c>
      <c r="C23" s="225">
        <v>83.73</v>
      </c>
      <c r="D23" s="225">
        <v>83.25</v>
      </c>
      <c r="E23" s="225">
        <v>82.69</v>
      </c>
      <c r="F23" s="225">
        <v>81.209999999999994</v>
      </c>
      <c r="G23" s="225">
        <v>80.83</v>
      </c>
      <c r="H23" s="225">
        <v>80.180000000000007</v>
      </c>
      <c r="I23" s="225">
        <v>78.209999999999994</v>
      </c>
      <c r="J23" s="225">
        <v>76.040000000000006</v>
      </c>
      <c r="K23" s="225">
        <v>77.260000000000005</v>
      </c>
      <c r="L23" s="225">
        <v>76.540000000000006</v>
      </c>
      <c r="M23" s="225">
        <v>77.84</v>
      </c>
      <c r="N23" s="225">
        <v>78.83</v>
      </c>
      <c r="O23" s="225">
        <v>79.89</v>
      </c>
      <c r="P23" s="225">
        <v>81.33</v>
      </c>
      <c r="Q23" s="225">
        <v>83.16</v>
      </c>
      <c r="R23" s="225">
        <v>84.74</v>
      </c>
      <c r="S23" s="225">
        <v>87.09</v>
      </c>
      <c r="T23" s="225">
        <v>89.18</v>
      </c>
      <c r="U23" s="225">
        <v>91.58</v>
      </c>
      <c r="V23" s="225">
        <v>93.3</v>
      </c>
      <c r="W23" s="225">
        <v>95.88</v>
      </c>
      <c r="X23" s="225">
        <v>98.58</v>
      </c>
      <c r="Y23" s="225">
        <v>102.12</v>
      </c>
      <c r="Z23" s="225">
        <v>104.15</v>
      </c>
      <c r="AA23" s="225">
        <v>106.44</v>
      </c>
      <c r="AB23" s="225">
        <v>108.7</v>
      </c>
      <c r="AC23" s="225">
        <v>110.96</v>
      </c>
      <c r="AD23" s="225">
        <v>113.25</v>
      </c>
      <c r="AE23" s="225">
        <v>116.13</v>
      </c>
      <c r="AF23" s="225">
        <v>119.11</v>
      </c>
      <c r="AG23" s="225">
        <v>122.09</v>
      </c>
      <c r="AH23" s="225">
        <v>125.09</v>
      </c>
      <c r="AI23" s="225">
        <v>128.13</v>
      </c>
      <c r="AJ23" s="225">
        <v>131.97</v>
      </c>
      <c r="AK23" s="225">
        <v>135.72</v>
      </c>
      <c r="AL23" s="225">
        <v>139.46</v>
      </c>
      <c r="AM23" s="225">
        <v>143.13999999999999</v>
      </c>
      <c r="AN23" s="225">
        <v>146.85</v>
      </c>
    </row>
    <row r="41" spans="1:39">
      <c r="A41" s="156"/>
      <c r="B41" s="156"/>
      <c r="C41" s="156"/>
      <c r="D41" s="156"/>
      <c r="E41" s="156"/>
      <c r="F41" s="156"/>
      <c r="G41" s="156"/>
      <c r="H41" s="156"/>
      <c r="I41" s="156"/>
    </row>
    <row r="42" spans="1:39">
      <c r="A42" s="36">
        <v>2012</v>
      </c>
      <c r="B42" s="36">
        <v>2013</v>
      </c>
      <c r="C42" s="36">
        <v>2014</v>
      </c>
      <c r="D42" s="36">
        <v>2015</v>
      </c>
      <c r="E42" s="36">
        <v>2016</v>
      </c>
      <c r="F42" s="36">
        <v>2017</v>
      </c>
      <c r="G42" s="36">
        <v>2018</v>
      </c>
      <c r="H42" s="36">
        <v>2019</v>
      </c>
      <c r="I42" s="36">
        <v>2020</v>
      </c>
      <c r="J42" s="36">
        <v>2021</v>
      </c>
      <c r="K42" s="36">
        <v>2022</v>
      </c>
      <c r="L42" s="36">
        <v>2023</v>
      </c>
      <c r="M42" s="36">
        <v>2024</v>
      </c>
      <c r="N42" s="36">
        <v>2025</v>
      </c>
      <c r="O42" s="36">
        <v>2026</v>
      </c>
      <c r="P42" s="36">
        <v>2027</v>
      </c>
      <c r="Q42" s="36">
        <v>2028</v>
      </c>
      <c r="R42" s="36">
        <v>2029</v>
      </c>
      <c r="S42" s="36">
        <v>2030</v>
      </c>
      <c r="T42" s="36">
        <v>2031</v>
      </c>
      <c r="U42" s="36">
        <v>2032</v>
      </c>
      <c r="V42" s="36">
        <v>2033</v>
      </c>
      <c r="W42" s="36">
        <v>2034</v>
      </c>
      <c r="X42" s="36">
        <v>2035</v>
      </c>
      <c r="Y42" s="36">
        <v>2036</v>
      </c>
      <c r="Z42" s="36">
        <v>2037</v>
      </c>
      <c r="AA42" s="225">
        <v>2038</v>
      </c>
      <c r="AB42" s="225">
        <v>2039</v>
      </c>
      <c r="AC42" s="225">
        <v>2040</v>
      </c>
      <c r="AD42" s="225">
        <v>2041</v>
      </c>
      <c r="AE42" s="225">
        <v>2042</v>
      </c>
      <c r="AF42" s="225">
        <v>2043</v>
      </c>
      <c r="AG42" s="225">
        <v>2044</v>
      </c>
      <c r="AH42" s="225">
        <v>2045</v>
      </c>
      <c r="AI42" s="225">
        <v>2046</v>
      </c>
      <c r="AJ42" s="225">
        <v>2047</v>
      </c>
      <c r="AK42" s="225">
        <v>2048</v>
      </c>
      <c r="AL42" s="225">
        <v>2049</v>
      </c>
      <c r="AM42" s="225">
        <v>2050</v>
      </c>
    </row>
    <row r="43" spans="1:39">
      <c r="A43" s="225">
        <v>53032</v>
      </c>
      <c r="B43" s="225">
        <v>53514</v>
      </c>
      <c r="C43" s="225">
        <v>54000</v>
      </c>
      <c r="D43" s="225">
        <v>54490</v>
      </c>
      <c r="E43" s="225">
        <v>55025</v>
      </c>
      <c r="F43" s="225">
        <v>55559</v>
      </c>
      <c r="G43" s="225">
        <v>56094</v>
      </c>
      <c r="H43" s="225">
        <v>56628</v>
      </c>
      <c r="I43" s="225">
        <v>57163</v>
      </c>
      <c r="J43" s="225">
        <v>57705</v>
      </c>
      <c r="K43" s="225">
        <v>58246</v>
      </c>
      <c r="L43" s="225">
        <v>58788</v>
      </c>
      <c r="M43" s="225">
        <v>59330</v>
      </c>
      <c r="N43" s="225">
        <v>59872</v>
      </c>
      <c r="O43" s="225">
        <v>60459</v>
      </c>
      <c r="P43" s="225">
        <v>61045</v>
      </c>
      <c r="Q43" s="225">
        <v>61632</v>
      </c>
      <c r="R43" s="225">
        <v>62219</v>
      </c>
      <c r="S43" s="225">
        <v>62806</v>
      </c>
      <c r="T43" s="225">
        <v>63373</v>
      </c>
      <c r="U43" s="225">
        <v>63940</v>
      </c>
      <c r="V43" s="225">
        <v>64507</v>
      </c>
      <c r="W43" s="225">
        <v>65074</v>
      </c>
      <c r="X43" s="225">
        <v>65641</v>
      </c>
      <c r="Y43" s="225">
        <v>66231</v>
      </c>
      <c r="Z43" s="225">
        <v>66820</v>
      </c>
      <c r="AA43" s="225">
        <v>67409</v>
      </c>
      <c r="AB43" s="225">
        <v>67999</v>
      </c>
      <c r="AC43" s="225">
        <v>68588</v>
      </c>
      <c r="AD43" s="225">
        <v>69261</v>
      </c>
      <c r="AE43" s="225">
        <v>69933</v>
      </c>
      <c r="AF43" s="225">
        <v>70606</v>
      </c>
      <c r="AG43" s="225">
        <v>71279</v>
      </c>
      <c r="AH43" s="225">
        <v>71951</v>
      </c>
      <c r="AI43" s="225">
        <v>72600</v>
      </c>
      <c r="AJ43" s="225">
        <v>73249</v>
      </c>
      <c r="AK43" s="225">
        <v>73898</v>
      </c>
      <c r="AL43" s="225">
        <v>74547</v>
      </c>
      <c r="AM43" s="225">
        <v>75196</v>
      </c>
    </row>
    <row r="50" spans="1:40">
      <c r="A50" s="225">
        <v>0</v>
      </c>
    </row>
    <row r="60" spans="1:40">
      <c r="B60" s="36">
        <v>2012</v>
      </c>
      <c r="C60" s="36">
        <v>2013</v>
      </c>
      <c r="D60" s="36">
        <v>2014</v>
      </c>
      <c r="E60" s="36">
        <v>2015</v>
      </c>
      <c r="F60" s="36">
        <v>2016</v>
      </c>
      <c r="G60" s="36">
        <v>2017</v>
      </c>
      <c r="H60" s="36">
        <v>2018</v>
      </c>
      <c r="I60" s="36">
        <v>2019</v>
      </c>
      <c r="J60" s="36">
        <v>2020</v>
      </c>
      <c r="K60" s="36">
        <v>2021</v>
      </c>
      <c r="L60" s="36">
        <v>2022</v>
      </c>
      <c r="M60" s="36">
        <v>2023</v>
      </c>
      <c r="N60" s="36">
        <v>2024</v>
      </c>
      <c r="O60" s="36">
        <v>2025</v>
      </c>
      <c r="P60" s="36">
        <v>2026</v>
      </c>
      <c r="Q60" s="36">
        <v>2027</v>
      </c>
      <c r="R60" s="36">
        <v>2028</v>
      </c>
      <c r="S60" s="36">
        <v>2029</v>
      </c>
      <c r="T60" s="36">
        <v>2030</v>
      </c>
      <c r="U60" s="36">
        <v>2031</v>
      </c>
      <c r="V60" s="36">
        <v>2032</v>
      </c>
      <c r="W60" s="36">
        <v>2033</v>
      </c>
      <c r="X60" s="36">
        <v>2034</v>
      </c>
      <c r="Y60" s="36">
        <v>2035</v>
      </c>
      <c r="Z60" s="36">
        <v>2036</v>
      </c>
      <c r="AA60" s="36">
        <v>2037</v>
      </c>
      <c r="AB60" s="36">
        <v>2038</v>
      </c>
      <c r="AC60" s="225">
        <v>2039</v>
      </c>
      <c r="AD60" s="225">
        <v>2040</v>
      </c>
      <c r="AE60" s="225">
        <v>2041</v>
      </c>
      <c r="AF60" s="225">
        <v>2042</v>
      </c>
      <c r="AG60" s="225">
        <v>2043</v>
      </c>
      <c r="AH60" s="225">
        <v>2044</v>
      </c>
      <c r="AI60" s="225">
        <v>2045</v>
      </c>
      <c r="AJ60" s="225">
        <v>2046</v>
      </c>
      <c r="AK60" s="225">
        <v>2047</v>
      </c>
      <c r="AL60" s="225">
        <v>2048</v>
      </c>
      <c r="AM60" s="225">
        <v>2049</v>
      </c>
      <c r="AN60" s="225">
        <v>2050</v>
      </c>
    </row>
    <row r="61" spans="1:40">
      <c r="A61" s="36" t="s">
        <v>275</v>
      </c>
      <c r="B61" s="225">
        <v>0.50003199863472492</v>
      </c>
      <c r="C61" s="225">
        <v>0.49674335943460585</v>
      </c>
      <c r="D61" s="225">
        <v>0.48822868689454441</v>
      </c>
      <c r="E61" s="225">
        <v>0.48147500627885365</v>
      </c>
      <c r="F61" s="225">
        <v>0.47737656478533347</v>
      </c>
      <c r="G61" s="225">
        <v>0.47023794558911891</v>
      </c>
      <c r="H61" s="225">
        <v>0.46353394236211087</v>
      </c>
      <c r="I61" s="225">
        <v>0.46108769196199162</v>
      </c>
      <c r="J61" s="225">
        <v>0.47398769619141334</v>
      </c>
      <c r="K61" s="225">
        <v>0.48802294893321585</v>
      </c>
      <c r="L61" s="225">
        <v>0.48160744524963783</v>
      </c>
      <c r="M61" s="225">
        <v>0.47529731801684205</v>
      </c>
      <c r="N61" s="225">
        <v>0.4689535605229086</v>
      </c>
      <c r="O61" s="225">
        <v>0.46306118439391969</v>
      </c>
      <c r="P61" s="225">
        <v>0.4555068405538002</v>
      </c>
      <c r="Q61" s="225">
        <v>0.44739940977174142</v>
      </c>
      <c r="R61" s="225">
        <v>0.43930961502928784</v>
      </c>
      <c r="S61" s="225">
        <v>0.43052643049427919</v>
      </c>
      <c r="T61" s="225">
        <v>0.42216842844292707</v>
      </c>
      <c r="U61" s="225">
        <v>0.4135496006513194</v>
      </c>
      <c r="V61" s="225">
        <v>0.40521721442606407</v>
      </c>
      <c r="W61" s="225">
        <v>0.39683874390439688</v>
      </c>
      <c r="X61" s="225">
        <v>0.38789767317654972</v>
      </c>
      <c r="Y61" s="225">
        <v>0.37860953755372506</v>
      </c>
      <c r="Z61" s="225">
        <v>0.3694539819598327</v>
      </c>
      <c r="AA61" s="225">
        <v>0.36068644391934845</v>
      </c>
      <c r="AB61" s="225">
        <v>0.35227821304680329</v>
      </c>
      <c r="AC61" s="225">
        <v>0.34415250138874304</v>
      </c>
      <c r="AD61" s="225">
        <v>0.33605734555939903</v>
      </c>
      <c r="AE61" s="225">
        <v>0.32771224641837343</v>
      </c>
      <c r="AF61" s="225">
        <v>0.3195955838917251</v>
      </c>
      <c r="AG61" s="225">
        <v>0.31161667472449101</v>
      </c>
      <c r="AH61" s="225">
        <v>0.30376621559511952</v>
      </c>
      <c r="AI61" s="225">
        <v>0.29595650938485324</v>
      </c>
      <c r="AJ61" s="225">
        <v>0.28826782153236025</v>
      </c>
      <c r="AK61" s="225">
        <v>0.28068634430159989</v>
      </c>
      <c r="AL61" s="225">
        <v>0.27343643787439709</v>
      </c>
      <c r="AM61" s="225">
        <v>0.2664185400721153</v>
      </c>
      <c r="AN61" s="225">
        <v>0.25945257650105208</v>
      </c>
    </row>
    <row r="62" spans="1:40">
      <c r="A62" s="36" t="s">
        <v>276</v>
      </c>
      <c r="B62" s="225">
        <v>0.30001919918083497</v>
      </c>
      <c r="C62" s="225">
        <v>0.29644362454654938</v>
      </c>
      <c r="D62" s="225">
        <v>0.29989890368726985</v>
      </c>
      <c r="E62" s="225">
        <v>0.30319595185227072</v>
      </c>
      <c r="F62" s="225">
        <v>0.30522800836475233</v>
      </c>
      <c r="G62" s="225">
        <v>0.30605482173653453</v>
      </c>
      <c r="H62" s="225">
        <v>0.30932373575545163</v>
      </c>
      <c r="I62" s="225">
        <v>0.31228368417755731</v>
      </c>
      <c r="J62" s="225">
        <v>0.32375163521226069</v>
      </c>
      <c r="K62" s="225">
        <v>0.30681637697278535</v>
      </c>
      <c r="L62" s="225">
        <v>0.30899051207902728</v>
      </c>
      <c r="M62" s="225">
        <v>0.31073061540438202</v>
      </c>
      <c r="N62" s="225">
        <v>0.31288111144304859</v>
      </c>
      <c r="O62" s="225">
        <v>0.31491255593475925</v>
      </c>
      <c r="P62" s="225">
        <v>0.31628939074725432</v>
      </c>
      <c r="Q62" s="225">
        <v>0.31847593645969752</v>
      </c>
      <c r="R62" s="225">
        <v>0.32044792827503243</v>
      </c>
      <c r="S62" s="225">
        <v>0.32217124766279381</v>
      </c>
      <c r="T62" s="225">
        <v>0.32472047549482769</v>
      </c>
      <c r="U62" s="225">
        <v>0.32634303861147274</v>
      </c>
      <c r="V62" s="225">
        <v>0.32889986401097365</v>
      </c>
      <c r="W62" s="225">
        <v>0.33081335717795152</v>
      </c>
      <c r="X62" s="225">
        <v>0.33290577410474198</v>
      </c>
      <c r="Y62" s="225">
        <v>0.3350106446536113</v>
      </c>
      <c r="Z62" s="225">
        <v>0.33736398356282593</v>
      </c>
      <c r="AA62" s="225">
        <v>0.33948242167787424</v>
      </c>
      <c r="AB62" s="225">
        <v>0.34168685597597181</v>
      </c>
      <c r="AC62" s="225">
        <v>0.34372210155141747</v>
      </c>
      <c r="AD62" s="225">
        <v>0.34569570470434441</v>
      </c>
      <c r="AE62" s="225">
        <v>0.3473542306386222</v>
      </c>
      <c r="AF62" s="225">
        <v>0.34891157351144181</v>
      </c>
      <c r="AG62" s="225">
        <v>0.35047596741434678</v>
      </c>
      <c r="AH62" s="225">
        <v>0.3520351033371365</v>
      </c>
      <c r="AI62" s="225">
        <v>0.35353162196051169</v>
      </c>
      <c r="AJ62" s="225">
        <v>0.35519503153173082</v>
      </c>
      <c r="AK62" s="225">
        <v>0.35685939070599704</v>
      </c>
      <c r="AL62" s="225">
        <v>0.35861453802253224</v>
      </c>
      <c r="AM62" s="225">
        <v>0.36021589852188485</v>
      </c>
      <c r="AN62" s="225">
        <v>0.36180135191051532</v>
      </c>
    </row>
    <row r="63" spans="1:40">
      <c r="A63" s="36" t="s">
        <v>277</v>
      </c>
      <c r="B63" s="225">
        <v>0.19994880218444011</v>
      </c>
      <c r="C63" s="225">
        <v>0.20681301601884478</v>
      </c>
      <c r="D63" s="225">
        <v>0.21187240941818569</v>
      </c>
      <c r="E63" s="225">
        <v>0.21532904186887569</v>
      </c>
      <c r="F63" s="225">
        <v>0.21739542684991425</v>
      </c>
      <c r="G63" s="225">
        <v>0.22370723267434656</v>
      </c>
      <c r="H63" s="225">
        <v>0.22714232188243744</v>
      </c>
      <c r="I63" s="225">
        <v>0.22662862386045102</v>
      </c>
      <c r="J63" s="225">
        <v>0.20226066859632597</v>
      </c>
      <c r="K63" s="225">
        <v>0.20516067409399874</v>
      </c>
      <c r="L63" s="225">
        <v>0.20940204267133489</v>
      </c>
      <c r="M63" s="225">
        <v>0.21397206657877588</v>
      </c>
      <c r="N63" s="225">
        <v>0.21816532803404287</v>
      </c>
      <c r="O63" s="225">
        <v>0.22202625967132111</v>
      </c>
      <c r="P63" s="225">
        <v>0.22820376869894543</v>
      </c>
      <c r="Q63" s="225">
        <v>0.23412465376856106</v>
      </c>
      <c r="R63" s="225">
        <v>0.24024245669567973</v>
      </c>
      <c r="S63" s="225">
        <v>0.247302321842927</v>
      </c>
      <c r="T63" s="225">
        <v>0.2531110960622453</v>
      </c>
      <c r="U63" s="225">
        <v>0.26010736073720786</v>
      </c>
      <c r="V63" s="225">
        <v>0.26588292156296223</v>
      </c>
      <c r="W63" s="225">
        <v>0.27234789891765165</v>
      </c>
      <c r="X63" s="225">
        <v>0.2791965527187083</v>
      </c>
      <c r="Y63" s="225">
        <v>0.28637981779266364</v>
      </c>
      <c r="Z63" s="225">
        <v>0.29318203447734137</v>
      </c>
      <c r="AA63" s="225">
        <v>0.29983113440277731</v>
      </c>
      <c r="AB63" s="225">
        <v>0.30603493097722489</v>
      </c>
      <c r="AC63" s="225">
        <v>0.31212539705983949</v>
      </c>
      <c r="AD63" s="225">
        <v>0.31824694973625656</v>
      </c>
      <c r="AE63" s="225">
        <v>0.32493352294300443</v>
      </c>
      <c r="AF63" s="225">
        <v>0.33149284259683304</v>
      </c>
      <c r="AG63" s="225">
        <v>0.33790735786116227</v>
      </c>
      <c r="AH63" s="225">
        <v>0.34419868106774398</v>
      </c>
      <c r="AI63" s="225">
        <v>0.35051186865463507</v>
      </c>
      <c r="AJ63" s="225">
        <v>0.35653714693590893</v>
      </c>
      <c r="AK63" s="225">
        <v>0.36245426499240307</v>
      </c>
      <c r="AL63" s="225">
        <v>0.36794902410307062</v>
      </c>
      <c r="AM63" s="225">
        <v>0.37336556140599986</v>
      </c>
      <c r="AN63" s="225">
        <v>0.3787460715884326</v>
      </c>
    </row>
    <row r="64" spans="1:40">
      <c r="A64" s="36"/>
    </row>
    <row r="65" spans="1:39">
      <c r="A65" s="36"/>
    </row>
    <row r="66" spans="1:39">
      <c r="A66" s="36"/>
    </row>
    <row r="70" spans="1:39">
      <c r="A70" s="36">
        <v>2012</v>
      </c>
      <c r="B70" s="36">
        <v>2013</v>
      </c>
      <c r="C70" s="36">
        <v>2014</v>
      </c>
      <c r="D70" s="36">
        <v>2015</v>
      </c>
      <c r="E70" s="36">
        <v>2016</v>
      </c>
      <c r="F70" s="36">
        <v>2017</v>
      </c>
      <c r="G70" s="36">
        <v>2018</v>
      </c>
      <c r="H70" s="36">
        <v>2019</v>
      </c>
      <c r="I70" s="36">
        <v>2020</v>
      </c>
      <c r="J70" s="36">
        <v>2021</v>
      </c>
      <c r="K70" s="36">
        <v>2022</v>
      </c>
      <c r="L70" s="36">
        <v>2023</v>
      </c>
      <c r="M70" s="36">
        <v>2024</v>
      </c>
      <c r="N70" s="36">
        <v>2025</v>
      </c>
      <c r="O70" s="36">
        <v>2026</v>
      </c>
      <c r="P70" s="36">
        <v>2027</v>
      </c>
      <c r="Q70" s="36">
        <v>2028</v>
      </c>
      <c r="R70" s="36">
        <v>2029</v>
      </c>
      <c r="S70" s="36">
        <v>2030</v>
      </c>
      <c r="T70" s="36">
        <v>2031</v>
      </c>
      <c r="U70" s="36">
        <v>2032</v>
      </c>
      <c r="V70" s="36">
        <v>2033</v>
      </c>
      <c r="W70" s="36">
        <v>2034</v>
      </c>
      <c r="X70" s="36">
        <v>2035</v>
      </c>
      <c r="Y70" s="36">
        <v>2036</v>
      </c>
      <c r="Z70" s="225">
        <v>2037</v>
      </c>
      <c r="AA70" s="225">
        <v>2038</v>
      </c>
      <c r="AB70" s="225">
        <v>2039</v>
      </c>
      <c r="AC70" s="225">
        <v>2040</v>
      </c>
      <c r="AD70" s="225">
        <v>2041</v>
      </c>
      <c r="AE70" s="225">
        <v>2042</v>
      </c>
      <c r="AF70" s="225">
        <v>2043</v>
      </c>
      <c r="AG70" s="225">
        <v>2044</v>
      </c>
      <c r="AH70" s="225">
        <v>2045</v>
      </c>
      <c r="AI70" s="225">
        <v>2046</v>
      </c>
      <c r="AJ70" s="225">
        <v>2047</v>
      </c>
      <c r="AK70" s="225">
        <v>2048</v>
      </c>
      <c r="AL70" s="225">
        <v>2049</v>
      </c>
      <c r="AM70" s="225">
        <v>2050</v>
      </c>
    </row>
    <row r="71" spans="1:39">
      <c r="A71" s="225">
        <v>0.29299999999999998</v>
      </c>
      <c r="B71" s="225">
        <v>0.29799999999999999</v>
      </c>
      <c r="C71" s="225">
        <v>0.30099999999999999</v>
      </c>
      <c r="D71" s="225">
        <v>0.30299999999999999</v>
      </c>
      <c r="E71" s="225">
        <v>0.30299999999999999</v>
      </c>
      <c r="F71" s="225">
        <v>0.307</v>
      </c>
      <c r="G71" s="225">
        <v>0.308</v>
      </c>
      <c r="H71" s="225">
        <v>0.30599999999999999</v>
      </c>
      <c r="I71" s="225">
        <v>0.27900000000000003</v>
      </c>
      <c r="J71" s="225">
        <v>0.28599999999999998</v>
      </c>
      <c r="K71" s="225">
        <v>0.28899999999999998</v>
      </c>
      <c r="L71" s="225">
        <v>0.29299999999999998</v>
      </c>
      <c r="M71" s="225">
        <v>0.29599999999999999</v>
      </c>
      <c r="N71" s="225">
        <v>0.29899999999999999</v>
      </c>
      <c r="O71" s="225">
        <v>0.30399999999999999</v>
      </c>
      <c r="P71" s="225">
        <v>0.308</v>
      </c>
      <c r="Q71" s="225">
        <v>0.313</v>
      </c>
      <c r="R71" s="225">
        <v>0.31900000000000001</v>
      </c>
      <c r="S71" s="225">
        <v>0.32300000000000001</v>
      </c>
      <c r="T71" s="225">
        <v>0.33</v>
      </c>
      <c r="U71" s="225">
        <v>0.33600000000000002</v>
      </c>
      <c r="V71" s="225">
        <v>0.34300000000000003</v>
      </c>
      <c r="W71" s="225">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589</v>
      </c>
      <c r="D101" s="36" t="s">
        <v>598</v>
      </c>
      <c r="E101" s="36" t="s">
        <v>599</v>
      </c>
      <c r="F101" s="36" t="s">
        <v>590</v>
      </c>
      <c r="G101" s="36" t="s">
        <v>600</v>
      </c>
      <c r="H101" s="36" t="s">
        <v>601</v>
      </c>
      <c r="I101" s="36" t="s">
        <v>602</v>
      </c>
      <c r="J101" s="36" t="s">
        <v>603</v>
      </c>
      <c r="K101" s="36" t="s">
        <v>591</v>
      </c>
      <c r="L101" s="36" t="s">
        <v>604</v>
      </c>
      <c r="M101" s="36" t="s">
        <v>605</v>
      </c>
      <c r="N101" s="36" t="s">
        <v>606</v>
      </c>
      <c r="O101" s="36" t="s">
        <v>607</v>
      </c>
      <c r="P101" s="36" t="s">
        <v>592</v>
      </c>
      <c r="Q101" s="36" t="s">
        <v>608</v>
      </c>
      <c r="R101" s="36" t="s">
        <v>609</v>
      </c>
      <c r="S101" s="36" t="s">
        <v>610</v>
      </c>
      <c r="T101" s="36" t="s">
        <v>611</v>
      </c>
      <c r="U101" s="36" t="s">
        <v>593</v>
      </c>
      <c r="V101" s="36" t="s">
        <v>612</v>
      </c>
      <c r="W101" s="36" t="s">
        <v>613</v>
      </c>
      <c r="X101" s="36" t="s">
        <v>614</v>
      </c>
      <c r="Y101" s="36" t="s">
        <v>615</v>
      </c>
      <c r="Z101" s="36" t="s">
        <v>594</v>
      </c>
      <c r="AA101" s="36" t="s">
        <v>616</v>
      </c>
      <c r="AB101" s="36" t="s">
        <v>617</v>
      </c>
      <c r="AC101" s="36" t="s">
        <v>618</v>
      </c>
      <c r="AD101" s="36" t="s">
        <v>619</v>
      </c>
      <c r="AE101" s="36" t="s">
        <v>595</v>
      </c>
      <c r="AF101" s="36" t="s">
        <v>620</v>
      </c>
      <c r="AG101" s="36" t="s">
        <v>621</v>
      </c>
      <c r="AH101" s="36" t="s">
        <v>622</v>
      </c>
      <c r="AI101" s="36" t="s">
        <v>623</v>
      </c>
      <c r="AJ101" s="36" t="s">
        <v>596</v>
      </c>
      <c r="AK101" s="36" t="s">
        <v>624</v>
      </c>
      <c r="AL101" s="36" t="s">
        <v>625</v>
      </c>
      <c r="AM101" s="36" t="s">
        <v>626</v>
      </c>
      <c r="AN101" s="36" t="s">
        <v>627</v>
      </c>
      <c r="AO101" s="36" t="s">
        <v>597</v>
      </c>
      <c r="AP101" s="36"/>
      <c r="AQ101" s="36"/>
      <c r="AR101" s="36"/>
      <c r="AS101" s="36"/>
      <c r="AT101" s="36"/>
      <c r="AU101" s="36"/>
    </row>
    <row r="102" spans="1:47">
      <c r="A102" s="36" t="s">
        <v>275</v>
      </c>
      <c r="B102" s="36" t="s">
        <v>552</v>
      </c>
      <c r="C102" s="225" t="s">
        <v>396</v>
      </c>
      <c r="D102" s="225" t="s">
        <v>396</v>
      </c>
      <c r="E102" s="225" t="s">
        <v>396</v>
      </c>
      <c r="F102" s="225" t="s">
        <v>396</v>
      </c>
      <c r="G102" s="225" t="s">
        <v>396</v>
      </c>
      <c r="H102" s="225" t="s">
        <v>396</v>
      </c>
      <c r="I102" s="225" t="s">
        <v>396</v>
      </c>
      <c r="J102" s="225" t="s">
        <v>396</v>
      </c>
      <c r="K102" s="225" t="s">
        <v>396</v>
      </c>
      <c r="L102" s="225" t="s">
        <v>396</v>
      </c>
      <c r="M102" s="225" t="s">
        <v>396</v>
      </c>
      <c r="N102" s="225" t="s">
        <v>396</v>
      </c>
      <c r="O102" s="225" t="s">
        <v>396</v>
      </c>
      <c r="P102" s="225" t="s">
        <v>396</v>
      </c>
      <c r="Q102" s="225" t="s">
        <v>396</v>
      </c>
      <c r="R102" s="225" t="s">
        <v>396</v>
      </c>
      <c r="S102" s="225" t="s">
        <v>396</v>
      </c>
      <c r="T102" s="225" t="s">
        <v>396</v>
      </c>
      <c r="U102" s="225" t="s">
        <v>396</v>
      </c>
      <c r="V102" s="225" t="s">
        <v>396</v>
      </c>
      <c r="W102" s="225" t="s">
        <v>396</v>
      </c>
      <c r="X102" s="225" t="s">
        <v>396</v>
      </c>
      <c r="Y102" s="225" t="s">
        <v>396</v>
      </c>
      <c r="Z102" s="225" t="s">
        <v>396</v>
      </c>
      <c r="AA102" s="225" t="s">
        <v>396</v>
      </c>
      <c r="AB102" s="225" t="s">
        <v>396</v>
      </c>
      <c r="AC102" s="225" t="s">
        <v>396</v>
      </c>
      <c r="AD102" s="225" t="s">
        <v>396</v>
      </c>
      <c r="AE102" s="225" t="s">
        <v>396</v>
      </c>
      <c r="AF102" s="225" t="s">
        <v>396</v>
      </c>
      <c r="AG102" s="225" t="s">
        <v>396</v>
      </c>
      <c r="AH102" s="225" t="s">
        <v>396</v>
      </c>
      <c r="AI102" s="225" t="s">
        <v>396</v>
      </c>
      <c r="AJ102" s="225" t="s">
        <v>396</v>
      </c>
      <c r="AK102" s="225" t="s">
        <v>396</v>
      </c>
      <c r="AL102" s="225" t="s">
        <v>396</v>
      </c>
      <c r="AM102" s="225" t="s">
        <v>396</v>
      </c>
      <c r="AN102" s="225" t="s">
        <v>396</v>
      </c>
      <c r="AO102" s="225" t="s">
        <v>396</v>
      </c>
    </row>
    <row r="103" spans="1:47">
      <c r="A103" s="36" t="s">
        <v>275</v>
      </c>
      <c r="B103" s="36" t="s">
        <v>553</v>
      </c>
      <c r="C103" s="225" t="s">
        <v>396</v>
      </c>
      <c r="D103" s="225" t="s">
        <v>396</v>
      </c>
      <c r="E103" s="225" t="s">
        <v>396</v>
      </c>
      <c r="F103" s="225" t="s">
        <v>396</v>
      </c>
      <c r="G103" s="225" t="s">
        <v>396</v>
      </c>
      <c r="H103" s="225" t="s">
        <v>396</v>
      </c>
      <c r="I103" s="225" t="s">
        <v>396</v>
      </c>
      <c r="J103" s="225" t="s">
        <v>396</v>
      </c>
      <c r="K103" s="225" t="s">
        <v>396</v>
      </c>
      <c r="L103" s="225" t="s">
        <v>396</v>
      </c>
      <c r="M103" s="225" t="s">
        <v>396</v>
      </c>
      <c r="N103" s="225" t="s">
        <v>396</v>
      </c>
      <c r="O103" s="225" t="s">
        <v>396</v>
      </c>
      <c r="P103" s="225" t="s">
        <v>396</v>
      </c>
      <c r="Q103" s="225" t="s">
        <v>396</v>
      </c>
      <c r="R103" s="225" t="s">
        <v>396</v>
      </c>
      <c r="S103" s="225" t="s">
        <v>396</v>
      </c>
      <c r="T103" s="225" t="s">
        <v>396</v>
      </c>
      <c r="U103" s="225" t="s">
        <v>396</v>
      </c>
      <c r="V103" s="225" t="s">
        <v>396</v>
      </c>
      <c r="W103" s="225" t="s">
        <v>396</v>
      </c>
      <c r="X103" s="225" t="s">
        <v>396</v>
      </c>
      <c r="Y103" s="225" t="s">
        <v>396</v>
      </c>
      <c r="Z103" s="225" t="s">
        <v>396</v>
      </c>
      <c r="AA103" s="225" t="s">
        <v>396</v>
      </c>
      <c r="AB103" s="225" t="s">
        <v>396</v>
      </c>
      <c r="AC103" s="225" t="s">
        <v>396</v>
      </c>
      <c r="AD103" s="225" t="s">
        <v>396</v>
      </c>
      <c r="AE103" s="225" t="s">
        <v>396</v>
      </c>
      <c r="AF103" s="225" t="s">
        <v>396</v>
      </c>
      <c r="AG103" s="225" t="s">
        <v>396</v>
      </c>
      <c r="AH103" s="225" t="s">
        <v>396</v>
      </c>
      <c r="AI103" s="225" t="s">
        <v>396</v>
      </c>
      <c r="AJ103" s="225" t="s">
        <v>396</v>
      </c>
      <c r="AK103" s="225" t="s">
        <v>396</v>
      </c>
      <c r="AL103" s="225" t="s">
        <v>396</v>
      </c>
      <c r="AM103" s="225" t="s">
        <v>396</v>
      </c>
      <c r="AN103" s="225" t="s">
        <v>396</v>
      </c>
      <c r="AO103" s="225" t="s">
        <v>396</v>
      </c>
    </row>
    <row r="104" spans="1:47">
      <c r="A104" s="36" t="s">
        <v>275</v>
      </c>
      <c r="B104" s="36" t="s">
        <v>554</v>
      </c>
      <c r="C104" s="225" t="s">
        <v>396</v>
      </c>
      <c r="D104" s="225" t="s">
        <v>396</v>
      </c>
      <c r="E104" s="225" t="s">
        <v>396</v>
      </c>
      <c r="F104" s="225" t="s">
        <v>396</v>
      </c>
      <c r="G104" s="225" t="s">
        <v>396</v>
      </c>
      <c r="H104" s="225" t="s">
        <v>396</v>
      </c>
      <c r="I104" s="225" t="s">
        <v>396</v>
      </c>
      <c r="J104" s="225" t="s">
        <v>396</v>
      </c>
      <c r="K104" s="225" t="s">
        <v>396</v>
      </c>
      <c r="L104" s="225" t="s">
        <v>396</v>
      </c>
      <c r="M104" s="225" t="s">
        <v>396</v>
      </c>
      <c r="N104" s="225" t="s">
        <v>396</v>
      </c>
      <c r="O104" s="225" t="s">
        <v>396</v>
      </c>
      <c r="P104" s="225" t="s">
        <v>396</v>
      </c>
      <c r="Q104" s="225" t="s">
        <v>396</v>
      </c>
      <c r="R104" s="225" t="s">
        <v>396</v>
      </c>
      <c r="S104" s="225" t="s">
        <v>396</v>
      </c>
      <c r="T104" s="225" t="s">
        <v>396</v>
      </c>
      <c r="U104" s="225" t="s">
        <v>396</v>
      </c>
      <c r="V104" s="225" t="s">
        <v>396</v>
      </c>
      <c r="W104" s="225" t="s">
        <v>396</v>
      </c>
      <c r="X104" s="225" t="s">
        <v>396</v>
      </c>
      <c r="Y104" s="225" t="s">
        <v>396</v>
      </c>
      <c r="Z104" s="225" t="s">
        <v>396</v>
      </c>
      <c r="AA104" s="225" t="s">
        <v>396</v>
      </c>
      <c r="AB104" s="225" t="s">
        <v>396</v>
      </c>
      <c r="AC104" s="225" t="s">
        <v>396</v>
      </c>
      <c r="AD104" s="225" t="s">
        <v>396</v>
      </c>
      <c r="AE104" s="225" t="s">
        <v>396</v>
      </c>
      <c r="AF104" s="225" t="s">
        <v>396</v>
      </c>
      <c r="AG104" s="225" t="s">
        <v>396</v>
      </c>
      <c r="AH104" s="225" t="s">
        <v>396</v>
      </c>
      <c r="AI104" s="225" t="s">
        <v>396</v>
      </c>
      <c r="AJ104" s="225" t="s">
        <v>396</v>
      </c>
      <c r="AK104" s="225" t="s">
        <v>396</v>
      </c>
      <c r="AL104" s="225" t="s">
        <v>396</v>
      </c>
      <c r="AM104" s="225" t="s">
        <v>396</v>
      </c>
      <c r="AN104" s="225" t="s">
        <v>396</v>
      </c>
      <c r="AO104" s="225" t="s">
        <v>396</v>
      </c>
    </row>
    <row r="105" spans="1:47">
      <c r="A105" s="36" t="s">
        <v>275</v>
      </c>
      <c r="B105" s="36" t="s">
        <v>555</v>
      </c>
      <c r="C105" s="225" t="s">
        <v>396</v>
      </c>
      <c r="D105" s="225" t="s">
        <v>396</v>
      </c>
      <c r="E105" s="225" t="s">
        <v>396</v>
      </c>
      <c r="F105" s="225" t="s">
        <v>396</v>
      </c>
      <c r="G105" s="225" t="s">
        <v>396</v>
      </c>
      <c r="H105" s="225" t="s">
        <v>396</v>
      </c>
      <c r="I105" s="225" t="s">
        <v>396</v>
      </c>
      <c r="J105" s="225" t="s">
        <v>396</v>
      </c>
      <c r="K105" s="225" t="s">
        <v>396</v>
      </c>
      <c r="L105" s="225" t="s">
        <v>396</v>
      </c>
      <c r="M105" s="225" t="s">
        <v>396</v>
      </c>
      <c r="N105" s="225" t="s">
        <v>396</v>
      </c>
      <c r="O105" s="225" t="s">
        <v>396</v>
      </c>
      <c r="P105" s="225" t="s">
        <v>396</v>
      </c>
      <c r="Q105" s="225" t="s">
        <v>396</v>
      </c>
      <c r="R105" s="225" t="s">
        <v>396</v>
      </c>
      <c r="S105" s="225" t="s">
        <v>396</v>
      </c>
      <c r="T105" s="225" t="s">
        <v>396</v>
      </c>
      <c r="U105" s="225" t="s">
        <v>396</v>
      </c>
      <c r="V105" s="225" t="s">
        <v>396</v>
      </c>
      <c r="W105" s="225" t="s">
        <v>396</v>
      </c>
      <c r="X105" s="225" t="s">
        <v>396</v>
      </c>
      <c r="Y105" s="225" t="s">
        <v>396</v>
      </c>
      <c r="Z105" s="225" t="s">
        <v>396</v>
      </c>
    </row>
    <row r="106" spans="1:47">
      <c r="A106" s="36" t="s">
        <v>275</v>
      </c>
      <c r="B106" s="36" t="s">
        <v>556</v>
      </c>
      <c r="C106" s="225" t="s">
        <v>396</v>
      </c>
      <c r="D106" s="225" t="s">
        <v>396</v>
      </c>
      <c r="E106" s="225" t="s">
        <v>396</v>
      </c>
      <c r="F106" s="225" t="s">
        <v>396</v>
      </c>
      <c r="G106" s="225" t="s">
        <v>396</v>
      </c>
      <c r="H106" s="225" t="s">
        <v>396</v>
      </c>
      <c r="I106" s="225" t="s">
        <v>396</v>
      </c>
      <c r="J106" s="225" t="s">
        <v>396</v>
      </c>
      <c r="K106" s="225" t="s">
        <v>396</v>
      </c>
    </row>
    <row r="107" spans="1:47">
      <c r="A107" s="36" t="s">
        <v>276</v>
      </c>
      <c r="B107" s="36" t="s">
        <v>555</v>
      </c>
      <c r="AA107" s="225" t="s">
        <v>396</v>
      </c>
      <c r="AB107" s="225" t="s">
        <v>396</v>
      </c>
      <c r="AC107" s="225" t="s">
        <v>396</v>
      </c>
      <c r="AD107" s="225" t="s">
        <v>396</v>
      </c>
      <c r="AE107" s="225" t="s">
        <v>396</v>
      </c>
      <c r="AF107" s="225" t="s">
        <v>396</v>
      </c>
      <c r="AG107" s="225" t="s">
        <v>396</v>
      </c>
      <c r="AH107" s="225" t="s">
        <v>396</v>
      </c>
      <c r="AI107" s="225" t="s">
        <v>396</v>
      </c>
      <c r="AJ107" s="225" t="s">
        <v>396</v>
      </c>
      <c r="AK107" s="225" t="s">
        <v>396</v>
      </c>
      <c r="AL107" s="225" t="s">
        <v>396</v>
      </c>
      <c r="AM107" s="225" t="s">
        <v>396</v>
      </c>
      <c r="AN107" s="225" t="s">
        <v>396</v>
      </c>
      <c r="AO107" s="225" t="s">
        <v>396</v>
      </c>
    </row>
    <row r="108" spans="1:47">
      <c r="A108" s="36" t="s">
        <v>276</v>
      </c>
      <c r="B108" s="36" t="s">
        <v>556</v>
      </c>
      <c r="L108" s="225" t="s">
        <v>396</v>
      </c>
      <c r="M108" s="225" t="s">
        <v>396</v>
      </c>
      <c r="N108" s="225" t="s">
        <v>396</v>
      </c>
      <c r="O108" s="225" t="s">
        <v>396</v>
      </c>
      <c r="P108" s="225" t="s">
        <v>396</v>
      </c>
      <c r="Q108" s="225" t="s">
        <v>396</v>
      </c>
      <c r="R108" s="225" t="s">
        <v>396</v>
      </c>
      <c r="S108" s="225" t="s">
        <v>396</v>
      </c>
      <c r="T108" s="225" t="s">
        <v>396</v>
      </c>
      <c r="U108" s="225" t="s">
        <v>396</v>
      </c>
      <c r="V108" s="225" t="s">
        <v>396</v>
      </c>
      <c r="W108" s="225" t="s">
        <v>396</v>
      </c>
      <c r="X108" s="225" t="s">
        <v>396</v>
      </c>
      <c r="Y108" s="225" t="s">
        <v>396</v>
      </c>
      <c r="Z108" s="225" t="s">
        <v>396</v>
      </c>
      <c r="AA108" s="225" t="s">
        <v>396</v>
      </c>
      <c r="AB108" s="225" t="s">
        <v>396</v>
      </c>
      <c r="AC108" s="225" t="s">
        <v>396</v>
      </c>
      <c r="AD108" s="225" t="s">
        <v>396</v>
      </c>
      <c r="AE108" s="225" t="s">
        <v>396</v>
      </c>
      <c r="AF108" s="225" t="s">
        <v>396</v>
      </c>
      <c r="AG108" s="225" t="s">
        <v>396</v>
      </c>
      <c r="AH108" s="225" t="s">
        <v>396</v>
      </c>
      <c r="AI108" s="225" t="s">
        <v>396</v>
      </c>
      <c r="AJ108" s="225" t="s">
        <v>396</v>
      </c>
      <c r="AK108" s="225" t="s">
        <v>396</v>
      </c>
      <c r="AL108" s="225" t="s">
        <v>396</v>
      </c>
      <c r="AM108" s="225" t="s">
        <v>396</v>
      </c>
      <c r="AN108" s="225" t="s">
        <v>396</v>
      </c>
      <c r="AO108" s="225" t="s">
        <v>396</v>
      </c>
    </row>
    <row r="109" spans="1:47">
      <c r="A109" s="36" t="s">
        <v>276</v>
      </c>
      <c r="B109" s="36" t="s">
        <v>557</v>
      </c>
      <c r="C109" s="225" t="s">
        <v>396</v>
      </c>
      <c r="D109" s="225" t="s">
        <v>396</v>
      </c>
      <c r="E109" s="225" t="s">
        <v>396</v>
      </c>
      <c r="F109" s="225" t="s">
        <v>396</v>
      </c>
      <c r="G109" s="225" t="s">
        <v>396</v>
      </c>
      <c r="H109" s="225" t="s">
        <v>396</v>
      </c>
      <c r="I109" s="225" t="s">
        <v>396</v>
      </c>
      <c r="J109" s="225" t="s">
        <v>396</v>
      </c>
      <c r="K109" s="225" t="s">
        <v>396</v>
      </c>
      <c r="L109" s="225" t="s">
        <v>396</v>
      </c>
      <c r="M109" s="225" t="s">
        <v>396</v>
      </c>
      <c r="N109" s="225" t="s">
        <v>396</v>
      </c>
      <c r="O109" s="225" t="s">
        <v>396</v>
      </c>
      <c r="P109" s="225" t="s">
        <v>396</v>
      </c>
      <c r="Q109" s="225" t="s">
        <v>396</v>
      </c>
      <c r="R109" s="225" t="s">
        <v>396</v>
      </c>
      <c r="S109" s="225" t="s">
        <v>396</v>
      </c>
      <c r="T109" s="225" t="s">
        <v>396</v>
      </c>
      <c r="U109" s="225" t="s">
        <v>396</v>
      </c>
      <c r="V109" s="225" t="s">
        <v>396</v>
      </c>
      <c r="W109" s="225" t="s">
        <v>396</v>
      </c>
      <c r="X109" s="225" t="s">
        <v>396</v>
      </c>
      <c r="Y109" s="225" t="s">
        <v>396</v>
      </c>
      <c r="Z109" s="225" t="s">
        <v>396</v>
      </c>
      <c r="AA109" s="225" t="s">
        <v>396</v>
      </c>
      <c r="AB109" s="225" t="s">
        <v>396</v>
      </c>
      <c r="AC109" s="225" t="s">
        <v>396</v>
      </c>
      <c r="AD109" s="225" t="s">
        <v>396</v>
      </c>
      <c r="AE109" s="225" t="s">
        <v>396</v>
      </c>
      <c r="AF109" s="225" t="s">
        <v>396</v>
      </c>
      <c r="AG109" s="225" t="s">
        <v>396</v>
      </c>
      <c r="AH109" s="225" t="s">
        <v>396</v>
      </c>
      <c r="AI109" s="225" t="s">
        <v>396</v>
      </c>
      <c r="AJ109" s="225" t="s">
        <v>396</v>
      </c>
      <c r="AK109" s="225" t="s">
        <v>396</v>
      </c>
      <c r="AL109" s="225" t="s">
        <v>396</v>
      </c>
      <c r="AM109" s="225" t="s">
        <v>396</v>
      </c>
      <c r="AN109" s="225" t="s">
        <v>396</v>
      </c>
      <c r="AO109" s="225" t="s">
        <v>396</v>
      </c>
    </row>
    <row r="110" spans="1:47">
      <c r="A110" s="36" t="s">
        <v>276</v>
      </c>
      <c r="B110" s="36" t="s">
        <v>558</v>
      </c>
      <c r="C110" s="225" t="s">
        <v>396</v>
      </c>
      <c r="D110" s="225" t="s">
        <v>396</v>
      </c>
      <c r="E110" s="225" t="s">
        <v>396</v>
      </c>
      <c r="F110" s="225" t="s">
        <v>396</v>
      </c>
      <c r="G110" s="225" t="s">
        <v>396</v>
      </c>
      <c r="H110" s="225" t="s">
        <v>396</v>
      </c>
      <c r="I110" s="225" t="s">
        <v>396</v>
      </c>
      <c r="J110" s="225" t="s">
        <v>396</v>
      </c>
      <c r="K110" s="225" t="s">
        <v>396</v>
      </c>
      <c r="L110" s="225" t="s">
        <v>396</v>
      </c>
      <c r="M110" s="225" t="s">
        <v>396</v>
      </c>
      <c r="N110" s="225" t="s">
        <v>396</v>
      </c>
      <c r="O110" s="225" t="s">
        <v>396</v>
      </c>
      <c r="P110" s="225" t="s">
        <v>396</v>
      </c>
      <c r="Q110" s="225" t="s">
        <v>396</v>
      </c>
      <c r="R110" s="225" t="s">
        <v>396</v>
      </c>
      <c r="S110" s="225" t="s">
        <v>396</v>
      </c>
      <c r="T110" s="225" t="s">
        <v>396</v>
      </c>
      <c r="U110" s="225" t="s">
        <v>396</v>
      </c>
      <c r="V110" s="225" t="s">
        <v>396</v>
      </c>
      <c r="W110" s="225" t="s">
        <v>396</v>
      </c>
      <c r="X110" s="225" t="s">
        <v>396</v>
      </c>
      <c r="Y110" s="225" t="s">
        <v>396</v>
      </c>
      <c r="Z110" s="225" t="s">
        <v>396</v>
      </c>
      <c r="AA110" s="225" t="s">
        <v>396</v>
      </c>
      <c r="AB110" s="225" t="s">
        <v>396</v>
      </c>
      <c r="AC110" s="225" t="s">
        <v>396</v>
      </c>
      <c r="AD110" s="225" t="s">
        <v>396</v>
      </c>
      <c r="AE110" s="225" t="s">
        <v>396</v>
      </c>
      <c r="AF110" s="225" t="s">
        <v>396</v>
      </c>
      <c r="AG110" s="225" t="s">
        <v>396</v>
      </c>
      <c r="AH110" s="225" t="s">
        <v>396</v>
      </c>
      <c r="AI110" s="225" t="s">
        <v>396</v>
      </c>
      <c r="AJ110" s="225" t="s">
        <v>396</v>
      </c>
      <c r="AK110" s="225" t="s">
        <v>396</v>
      </c>
      <c r="AL110" s="225" t="s">
        <v>396</v>
      </c>
      <c r="AM110" s="225" t="s">
        <v>396</v>
      </c>
      <c r="AN110" s="225" t="s">
        <v>396</v>
      </c>
      <c r="AO110" s="225" t="s">
        <v>396</v>
      </c>
    </row>
    <row r="111" spans="1:47">
      <c r="A111" s="36" t="s">
        <v>276</v>
      </c>
      <c r="B111" s="36" t="s">
        <v>559</v>
      </c>
      <c r="C111" s="225" t="s">
        <v>396</v>
      </c>
      <c r="D111" s="225" t="s">
        <v>396</v>
      </c>
      <c r="E111" s="225" t="s">
        <v>396</v>
      </c>
      <c r="F111" s="225" t="s">
        <v>396</v>
      </c>
      <c r="G111" s="225" t="s">
        <v>396</v>
      </c>
      <c r="H111" s="225" t="s">
        <v>396</v>
      </c>
      <c r="I111" s="225" t="s">
        <v>396</v>
      </c>
      <c r="J111" s="225" t="s">
        <v>396</v>
      </c>
      <c r="K111" s="225" t="s">
        <v>396</v>
      </c>
      <c r="L111" s="225" t="s">
        <v>396</v>
      </c>
      <c r="M111" s="225" t="s">
        <v>396</v>
      </c>
      <c r="N111" s="225" t="s">
        <v>396</v>
      </c>
      <c r="O111" s="225" t="s">
        <v>396</v>
      </c>
      <c r="P111" s="225" t="s">
        <v>396</v>
      </c>
      <c r="Q111" s="225" t="s">
        <v>396</v>
      </c>
      <c r="R111" s="225" t="s">
        <v>396</v>
      </c>
      <c r="S111" s="225" t="s">
        <v>396</v>
      </c>
      <c r="T111" s="225" t="s">
        <v>396</v>
      </c>
      <c r="U111" s="225" t="s">
        <v>396</v>
      </c>
      <c r="V111" s="225" t="s">
        <v>396</v>
      </c>
    </row>
    <row r="112" spans="1:47">
      <c r="A112" s="36" t="s">
        <v>277</v>
      </c>
      <c r="B112" s="36" t="s">
        <v>559</v>
      </c>
      <c r="W112" s="225" t="s">
        <v>396</v>
      </c>
      <c r="X112" s="225" t="s">
        <v>396</v>
      </c>
      <c r="Y112" s="225" t="s">
        <v>396</v>
      </c>
      <c r="Z112" s="225" t="s">
        <v>396</v>
      </c>
      <c r="AA112" s="225" t="s">
        <v>396</v>
      </c>
      <c r="AB112" s="225" t="s">
        <v>396</v>
      </c>
      <c r="AC112" s="225" t="s">
        <v>396</v>
      </c>
      <c r="AD112" s="225" t="s">
        <v>396</v>
      </c>
      <c r="AE112" s="225" t="s">
        <v>396</v>
      </c>
      <c r="AF112" s="225" t="s">
        <v>396</v>
      </c>
      <c r="AG112" s="225" t="s">
        <v>396</v>
      </c>
      <c r="AH112" s="225" t="s">
        <v>396</v>
      </c>
      <c r="AI112" s="225" t="s">
        <v>396</v>
      </c>
      <c r="AJ112" s="225" t="s">
        <v>396</v>
      </c>
      <c r="AK112" s="225" t="s">
        <v>396</v>
      </c>
      <c r="AL112" s="225" t="s">
        <v>396</v>
      </c>
      <c r="AM112" s="225" t="s">
        <v>396</v>
      </c>
      <c r="AN112" s="225" t="s">
        <v>396</v>
      </c>
      <c r="AO112" s="225" t="s">
        <v>396</v>
      </c>
    </row>
    <row r="113" spans="1:41">
      <c r="A113" s="36" t="s">
        <v>277</v>
      </c>
      <c r="B113" s="36" t="s">
        <v>560</v>
      </c>
      <c r="C113" s="225" t="s">
        <v>396</v>
      </c>
      <c r="D113" s="225" t="s">
        <v>396</v>
      </c>
      <c r="E113" s="225" t="s">
        <v>396</v>
      </c>
      <c r="F113" s="225" t="s">
        <v>396</v>
      </c>
      <c r="G113" s="225" t="s">
        <v>396</v>
      </c>
      <c r="H113" s="225" t="s">
        <v>396</v>
      </c>
      <c r="I113" s="225" t="s">
        <v>396</v>
      </c>
      <c r="J113" s="225" t="s">
        <v>396</v>
      </c>
      <c r="K113" s="225" t="s">
        <v>396</v>
      </c>
      <c r="L113" s="225" t="s">
        <v>396</v>
      </c>
      <c r="M113" s="225" t="s">
        <v>396</v>
      </c>
      <c r="N113" s="225" t="s">
        <v>396</v>
      </c>
      <c r="O113" s="225" t="s">
        <v>396</v>
      </c>
      <c r="P113" s="225" t="s">
        <v>396</v>
      </c>
      <c r="Q113" s="225" t="s">
        <v>396</v>
      </c>
      <c r="R113" s="225" t="s">
        <v>396</v>
      </c>
      <c r="S113" s="225" t="s">
        <v>396</v>
      </c>
      <c r="T113" s="225" t="s">
        <v>396</v>
      </c>
      <c r="U113" s="225" t="s">
        <v>396</v>
      </c>
      <c r="V113" s="225" t="s">
        <v>396</v>
      </c>
      <c r="W113" s="225" t="s">
        <v>396</v>
      </c>
      <c r="X113" s="225" t="s">
        <v>396</v>
      </c>
      <c r="Y113" s="225" t="s">
        <v>396</v>
      </c>
      <c r="Z113" s="225" t="s">
        <v>396</v>
      </c>
      <c r="AA113" s="225" t="s">
        <v>396</v>
      </c>
      <c r="AB113" s="225" t="s">
        <v>396</v>
      </c>
      <c r="AC113" s="225" t="s">
        <v>396</v>
      </c>
      <c r="AD113" s="225" t="s">
        <v>396</v>
      </c>
      <c r="AE113" s="225" t="s">
        <v>396</v>
      </c>
      <c r="AF113" s="225" t="s">
        <v>396</v>
      </c>
      <c r="AG113" s="225" t="s">
        <v>396</v>
      </c>
      <c r="AH113" s="225" t="s">
        <v>396</v>
      </c>
      <c r="AI113" s="225" t="s">
        <v>396</v>
      </c>
      <c r="AJ113" s="225" t="s">
        <v>396</v>
      </c>
      <c r="AK113" s="225" t="s">
        <v>396</v>
      </c>
      <c r="AL113" s="225" t="s">
        <v>396</v>
      </c>
      <c r="AM113" s="225" t="s">
        <v>396</v>
      </c>
      <c r="AN113" s="225" t="s">
        <v>396</v>
      </c>
      <c r="AO113" s="225" t="s">
        <v>396</v>
      </c>
    </row>
    <row r="114" spans="1:41">
      <c r="A114" s="36" t="s">
        <v>277</v>
      </c>
      <c r="B114" s="36" t="s">
        <v>637</v>
      </c>
      <c r="C114" s="225" t="s">
        <v>396</v>
      </c>
      <c r="D114" s="225" t="s">
        <v>396</v>
      </c>
      <c r="E114" s="225" t="s">
        <v>396</v>
      </c>
      <c r="F114" s="225" t="s">
        <v>396</v>
      </c>
      <c r="G114" s="225" t="s">
        <v>396</v>
      </c>
      <c r="H114" s="225" t="s">
        <v>396</v>
      </c>
      <c r="I114" s="225" t="s">
        <v>396</v>
      </c>
      <c r="J114" s="225" t="s">
        <v>396</v>
      </c>
      <c r="K114" s="225" t="s">
        <v>396</v>
      </c>
      <c r="L114" s="225" t="s">
        <v>396</v>
      </c>
      <c r="M114" s="225" t="s">
        <v>396</v>
      </c>
      <c r="N114" s="225" t="s">
        <v>396</v>
      </c>
      <c r="O114" s="225" t="s">
        <v>396</v>
      </c>
      <c r="P114" s="225" t="s">
        <v>396</v>
      </c>
      <c r="Q114" s="225" t="s">
        <v>396</v>
      </c>
      <c r="R114" s="225" t="s">
        <v>396</v>
      </c>
      <c r="S114" s="225" t="s">
        <v>396</v>
      </c>
      <c r="T114" s="225" t="s">
        <v>396</v>
      </c>
      <c r="U114" s="225" t="s">
        <v>396</v>
      </c>
      <c r="V114" s="225" t="s">
        <v>396</v>
      </c>
      <c r="W114" s="225" t="s">
        <v>396</v>
      </c>
      <c r="X114" s="225" t="s">
        <v>396</v>
      </c>
      <c r="Y114" s="225" t="s">
        <v>396</v>
      </c>
      <c r="Z114" s="225" t="s">
        <v>396</v>
      </c>
      <c r="AA114" s="225" t="s">
        <v>396</v>
      </c>
      <c r="AB114" s="225" t="s">
        <v>396</v>
      </c>
      <c r="AC114" s="225" t="s">
        <v>396</v>
      </c>
      <c r="AD114" s="225" t="s">
        <v>396</v>
      </c>
      <c r="AE114" s="225" t="s">
        <v>396</v>
      </c>
      <c r="AF114" s="225" t="s">
        <v>396</v>
      </c>
      <c r="AG114" s="225" t="s">
        <v>396</v>
      </c>
      <c r="AH114" s="225" t="s">
        <v>396</v>
      </c>
      <c r="AI114" s="225" t="s">
        <v>396</v>
      </c>
      <c r="AJ114" s="225" t="s">
        <v>396</v>
      </c>
      <c r="AK114" s="225" t="s">
        <v>396</v>
      </c>
      <c r="AL114" s="225" t="s">
        <v>396</v>
      </c>
      <c r="AM114" s="225" t="s">
        <v>396</v>
      </c>
      <c r="AN114" s="225" t="s">
        <v>396</v>
      </c>
      <c r="AO114" s="225" t="s">
        <v>396</v>
      </c>
    </row>
    <row r="115" spans="1:41">
      <c r="A115" s="36"/>
      <c r="B115" s="36"/>
    </row>
    <row r="116" spans="1:41">
      <c r="A116" s="36"/>
      <c r="B116" s="36"/>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37"/>
      <c r="D131" s="238"/>
      <c r="E131" s="238"/>
      <c r="F131" s="238"/>
      <c r="G131" s="238"/>
      <c r="H131" s="238"/>
      <c r="I131" s="238"/>
      <c r="J131" s="238"/>
      <c r="K131" s="238"/>
      <c r="L131" s="36"/>
      <c r="M131" s="238"/>
      <c r="N131" s="219"/>
      <c r="O131" s="219"/>
    </row>
    <row r="132" spans="1:15">
      <c r="A132" s="36"/>
      <c r="B132" s="36"/>
    </row>
    <row r="133" spans="1:15">
      <c r="A133" s="36"/>
      <c r="B133" s="36"/>
    </row>
    <row r="134" spans="1:15">
      <c r="A134" s="36"/>
      <c r="B134" s="36"/>
    </row>
    <row r="161" spans="1:13">
      <c r="A161" s="36" t="s">
        <v>1</v>
      </c>
      <c r="B161" s="36" t="s">
        <v>450</v>
      </c>
      <c r="C161" s="36" t="s">
        <v>451</v>
      </c>
      <c r="D161" s="36" t="s">
        <v>452</v>
      </c>
      <c r="E161" s="36" t="s">
        <v>453</v>
      </c>
      <c r="F161" s="36" t="s">
        <v>454</v>
      </c>
      <c r="G161" s="36" t="s">
        <v>572</v>
      </c>
      <c r="H161" s="36" t="s">
        <v>573</v>
      </c>
      <c r="I161" s="36" t="s">
        <v>574</v>
      </c>
      <c r="J161" s="36" t="s">
        <v>0</v>
      </c>
      <c r="K161" s="36" t="s">
        <v>140</v>
      </c>
      <c r="L161" s="36" t="s">
        <v>575</v>
      </c>
      <c r="M161" s="36" t="s">
        <v>576</v>
      </c>
    </row>
    <row r="162" spans="1:13">
      <c r="A162" s="225">
        <v>-1</v>
      </c>
      <c r="B162" s="225">
        <v>2</v>
      </c>
      <c r="C162" s="225">
        <v>-1</v>
      </c>
      <c r="D162" s="225">
        <v>-1</v>
      </c>
      <c r="E162" s="225">
        <v>-1</v>
      </c>
      <c r="F162" s="225">
        <v>-1</v>
      </c>
      <c r="G162" s="225">
        <v>-1</v>
      </c>
      <c r="H162" s="225">
        <v>-1</v>
      </c>
      <c r="I162" s="225">
        <v>-1</v>
      </c>
      <c r="J162" s="225">
        <v>-1</v>
      </c>
      <c r="K162" s="225">
        <v>-1</v>
      </c>
      <c r="L162" s="225">
        <v>-1</v>
      </c>
      <c r="M162" s="22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C64" sqref="C64"/>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row r="4" spans="1:41" s="4" customFormat="1"/>
    <row r="5" spans="1:41" s="4" customFormat="1">
      <c r="A5" s="4" t="s">
        <v>645</v>
      </c>
      <c r="C5" s="4">
        <v>2012</v>
      </c>
      <c r="D5" s="4">
        <f>1+C5</f>
        <v>2013</v>
      </c>
      <c r="E5" s="4">
        <f t="shared" ref="E5:AE5" si="0">1+D5</f>
        <v>2014</v>
      </c>
      <c r="F5" s="4">
        <f t="shared" si="0"/>
        <v>2015</v>
      </c>
      <c r="G5" s="4">
        <f t="shared" si="0"/>
        <v>2016</v>
      </c>
      <c r="H5" s="4">
        <f t="shared" si="0"/>
        <v>2017</v>
      </c>
      <c r="I5" s="4">
        <f t="shared" si="0"/>
        <v>2018</v>
      </c>
      <c r="J5" s="4">
        <f t="shared" si="0"/>
        <v>2019</v>
      </c>
      <c r="K5" s="4">
        <f t="shared" si="0"/>
        <v>2020</v>
      </c>
      <c r="L5" s="4">
        <f t="shared" si="0"/>
        <v>2021</v>
      </c>
      <c r="M5" s="4">
        <f t="shared" si="0"/>
        <v>2022</v>
      </c>
      <c r="N5" s="4">
        <f t="shared" si="0"/>
        <v>2023</v>
      </c>
      <c r="O5" s="4">
        <f t="shared" si="0"/>
        <v>2024</v>
      </c>
      <c r="P5" s="4">
        <f t="shared" si="0"/>
        <v>2025</v>
      </c>
      <c r="Q5" s="4">
        <f t="shared" si="0"/>
        <v>2026</v>
      </c>
      <c r="R5" s="4">
        <f t="shared" si="0"/>
        <v>2027</v>
      </c>
      <c r="S5" s="4">
        <f t="shared" si="0"/>
        <v>2028</v>
      </c>
      <c r="T5" s="4">
        <f t="shared" si="0"/>
        <v>2029</v>
      </c>
      <c r="U5" s="4">
        <f t="shared" si="0"/>
        <v>2030</v>
      </c>
      <c r="V5" s="4">
        <f t="shared" si="0"/>
        <v>2031</v>
      </c>
      <c r="W5" s="4">
        <f t="shared" si="0"/>
        <v>2032</v>
      </c>
      <c r="X5" s="4">
        <f t="shared" si="0"/>
        <v>2033</v>
      </c>
      <c r="Y5" s="4">
        <f t="shared" si="0"/>
        <v>2034</v>
      </c>
      <c r="Z5" s="4">
        <f t="shared" si="0"/>
        <v>2035</v>
      </c>
      <c r="AA5" s="4">
        <f t="shared" si="0"/>
        <v>2036</v>
      </c>
      <c r="AB5" s="4">
        <f t="shared" si="0"/>
        <v>2037</v>
      </c>
      <c r="AC5" s="4">
        <f t="shared" si="0"/>
        <v>2038</v>
      </c>
      <c r="AD5" s="4">
        <f t="shared" si="0"/>
        <v>2039</v>
      </c>
      <c r="AE5" s="4">
        <f t="shared" si="0"/>
        <v>2040</v>
      </c>
      <c r="AF5" s="4">
        <v>2045</v>
      </c>
      <c r="AG5" s="4">
        <v>2050</v>
      </c>
      <c r="AN5" s="5"/>
    </row>
    <row r="6" spans="1:41">
      <c r="A6" t="s">
        <v>646</v>
      </c>
      <c r="C6">
        <v>0</v>
      </c>
      <c r="D6">
        <f>C6+1</f>
        <v>1</v>
      </c>
      <c r="E6" s="4">
        <f t="shared" ref="E6:AG6" si="1">D6+1</f>
        <v>2</v>
      </c>
      <c r="F6" s="4">
        <f t="shared" si="1"/>
        <v>3</v>
      </c>
      <c r="G6" s="4">
        <f t="shared" si="1"/>
        <v>4</v>
      </c>
      <c r="H6" s="4">
        <f t="shared" si="1"/>
        <v>5</v>
      </c>
      <c r="I6" s="4">
        <f t="shared" si="1"/>
        <v>6</v>
      </c>
      <c r="J6" s="4">
        <f t="shared" si="1"/>
        <v>7</v>
      </c>
      <c r="K6" s="4">
        <f t="shared" si="1"/>
        <v>8</v>
      </c>
      <c r="L6" s="4">
        <f t="shared" si="1"/>
        <v>9</v>
      </c>
      <c r="M6" s="4">
        <f t="shared" si="1"/>
        <v>10</v>
      </c>
      <c r="N6" s="4">
        <f t="shared" si="1"/>
        <v>11</v>
      </c>
      <c r="O6" s="4">
        <f t="shared" si="1"/>
        <v>12</v>
      </c>
      <c r="P6" s="4">
        <f t="shared" si="1"/>
        <v>13</v>
      </c>
      <c r="Q6" s="4">
        <f t="shared" si="1"/>
        <v>14</v>
      </c>
      <c r="R6" s="4">
        <f t="shared" si="1"/>
        <v>15</v>
      </c>
      <c r="S6" s="4">
        <f t="shared" si="1"/>
        <v>16</v>
      </c>
      <c r="T6" s="4">
        <f t="shared" si="1"/>
        <v>17</v>
      </c>
      <c r="U6" s="4">
        <f t="shared" si="1"/>
        <v>18</v>
      </c>
      <c r="V6" s="4">
        <f t="shared" si="1"/>
        <v>19</v>
      </c>
      <c r="W6" s="4">
        <f t="shared" si="1"/>
        <v>20</v>
      </c>
      <c r="X6" s="4">
        <f t="shared" si="1"/>
        <v>21</v>
      </c>
      <c r="Y6" s="4">
        <f t="shared" si="1"/>
        <v>22</v>
      </c>
      <c r="Z6" s="4">
        <f t="shared" si="1"/>
        <v>23</v>
      </c>
      <c r="AA6" s="4">
        <f t="shared" si="1"/>
        <v>24</v>
      </c>
      <c r="AB6" s="4">
        <f t="shared" si="1"/>
        <v>25</v>
      </c>
      <c r="AC6" s="4">
        <f t="shared" si="1"/>
        <v>26</v>
      </c>
      <c r="AD6" s="4">
        <f t="shared" si="1"/>
        <v>27</v>
      </c>
      <c r="AE6" s="4">
        <f t="shared" si="1"/>
        <v>28</v>
      </c>
      <c r="AF6" s="4">
        <f t="shared" si="1"/>
        <v>29</v>
      </c>
      <c r="AG6" s="4">
        <f t="shared" si="1"/>
        <v>30</v>
      </c>
      <c r="AH6" s="4"/>
      <c r="AI6" s="4"/>
      <c r="AJ6" s="4"/>
      <c r="AK6" s="4"/>
      <c r="AL6" s="4"/>
      <c r="AM6" s="4"/>
    </row>
    <row r="7" spans="1:41">
      <c r="A7" s="158" t="s">
        <v>138</v>
      </c>
      <c r="B7" s="4">
        <v>1</v>
      </c>
      <c r="C7" s="10">
        <f>INDEX(DriversGams!$A$5:$AN$23,MATCH(Drivers!$A7,DriversGams!$A$5:$A$23,0),MATCH(Drivers!C$5,DriversGams!$A$5:$AN$5,0))</f>
        <v>69.819999999999993</v>
      </c>
      <c r="D7" s="10">
        <f>INDEX(DriversGams!$A$5:$AN$23,MATCH(Drivers!$A7,DriversGams!$A$5:$A$23,0),MATCH(Drivers!D$5,DriversGams!$A$5:$AN$5,0))</f>
        <v>72.77</v>
      </c>
      <c r="E7" s="10">
        <f>INDEX(DriversGams!$A$5:$AN$23,MATCH(Drivers!$A7,DriversGams!$A$5:$A$23,0),MATCH(Drivers!E$5,DriversGams!$A$5:$AN$5,0))</f>
        <v>75.510000000000005</v>
      </c>
      <c r="F7" s="10">
        <f>INDEX(DriversGams!$A$5:$AN$23,MATCH(Drivers!$A7,DriversGams!$A$5:$A$23,0),MATCH(Drivers!F$5,DriversGams!$A$5:$AN$5,0))</f>
        <v>74.36</v>
      </c>
      <c r="G7" s="10">
        <f>INDEX(DriversGams!$A$5:$AN$23,MATCH(Drivers!$A7,DriversGams!$A$5:$A$23,0),MATCH(Drivers!G$5,DriversGams!$A$5:$AN$5,0))</f>
        <v>73.55</v>
      </c>
      <c r="H7" s="10">
        <f>INDEX(DriversGams!$A$5:$AN$23,MATCH(Drivers!$A7,DriversGams!$A$5:$A$23,0),MATCH(Drivers!H$5,DriversGams!$A$5:$AN$5,0))</f>
        <v>76</v>
      </c>
      <c r="I7" s="10">
        <f>INDEX(DriversGams!$A$5:$AN$23,MATCH(Drivers!$A7,DriversGams!$A$5:$A$23,0),MATCH(Drivers!I$5,DriversGams!$A$5:$AN$5,0))</f>
        <v>74.78</v>
      </c>
      <c r="J7" s="10">
        <f>INDEX(DriversGams!$A$5:$AN$23,MATCH(Drivers!$A7,DriversGams!$A$5:$A$23,0),MATCH(Drivers!J$5,DriversGams!$A$5:$AN$5,0))</f>
        <v>73.53</v>
      </c>
      <c r="K7" s="10">
        <f>INDEX(DriversGams!$A$5:$AN$23,MATCH(Drivers!$A7,DriversGams!$A$5:$A$23,0),MATCH(Drivers!K$5,DriversGams!$A$5:$AN$5,0))</f>
        <v>70.959999999999994</v>
      </c>
      <c r="L7" s="10">
        <f>INDEX(DriversGams!$A$5:$AN$23,MATCH(Drivers!$A7,DriversGams!$A$5:$A$23,0),MATCH(Drivers!L$5,DriversGams!$A$5:$AN$5,0))</f>
        <v>72.959999999999994</v>
      </c>
      <c r="M7" s="10">
        <f>INDEX(DriversGams!$A$5:$AN$23,MATCH(Drivers!$A7,DriversGams!$A$5:$A$23,0),MATCH(Drivers!M$5,DriversGams!$A$5:$AN$5,0))</f>
        <v>75</v>
      </c>
      <c r="N7" s="10">
        <f>INDEX(DriversGams!$A$5:$AN$23,MATCH(Drivers!$A7,DriversGams!$A$5:$A$23,0),MATCH(Drivers!N$5,DriversGams!$A$5:$AN$5,0))</f>
        <v>76.52</v>
      </c>
      <c r="O7" s="10">
        <f>INDEX(DriversGams!$A$5:$AN$23,MATCH(Drivers!$A7,DriversGams!$A$5:$A$23,0),MATCH(Drivers!O$5,DriversGams!$A$5:$AN$5,0))</f>
        <v>77.900000000000006</v>
      </c>
      <c r="P7" s="10">
        <f>INDEX(DriversGams!$A$5:$AN$23,MATCH(Drivers!$A7,DriversGams!$A$5:$A$23,0),MATCH(Drivers!P$5,DriversGams!$A$5:$AN$5,0))</f>
        <v>79.13</v>
      </c>
      <c r="Q7" s="10">
        <f>INDEX(DriversGams!$A$5:$AN$23,MATCH(Drivers!$A7,DriversGams!$A$5:$A$23,0),MATCH(Drivers!Q$5,DriversGams!$A$5:$AN$5,0))</f>
        <v>81.150000000000006</v>
      </c>
      <c r="R7" s="10">
        <f>INDEX(DriversGams!$A$5:$AN$23,MATCH(Drivers!$A7,DriversGams!$A$5:$A$23,0),MATCH(Drivers!R$5,DriversGams!$A$5:$AN$5,0))</f>
        <v>83.06</v>
      </c>
      <c r="S7" s="10">
        <f>INDEX(DriversGams!$A$5:$AN$23,MATCH(Drivers!$A7,DriversGams!$A$5:$A$23,0),MATCH(Drivers!S$5,DriversGams!$A$5:$AN$5,0))</f>
        <v>85</v>
      </c>
      <c r="T7" s="10">
        <f>INDEX(DriversGams!$A$5:$AN$23,MATCH(Drivers!$A7,DriversGams!$A$5:$A$23,0),MATCH(Drivers!T$5,DriversGams!$A$5:$AN$5,0))</f>
        <v>86.79</v>
      </c>
      <c r="U7" s="10">
        <f>INDEX(DriversGams!$A$5:$AN$23,MATCH(Drivers!$A7,DriversGams!$A$5:$A$23,0),MATCH(Drivers!U$5,DriversGams!$A$5:$AN$5,0))</f>
        <v>88.61</v>
      </c>
      <c r="V7" s="10">
        <f>INDEX(DriversGams!$A$5:$AN$23,MATCH(Drivers!$A7,DriversGams!$A$5:$A$23,0),MATCH(Drivers!V$5,DriversGams!$A$5:$AN$5,0))</f>
        <v>90.52</v>
      </c>
      <c r="W7" s="10">
        <f>INDEX(DriversGams!$A$5:$AN$23,MATCH(Drivers!$A7,DriversGams!$A$5:$A$23,0),MATCH(Drivers!W$5,DriversGams!$A$5:$AN$5,0))</f>
        <v>92.22</v>
      </c>
      <c r="X7" s="10">
        <f>INDEX(DriversGams!$A$5:$AN$23,MATCH(Drivers!$A7,DriversGams!$A$5:$A$23,0),MATCH(Drivers!X$5,DriversGams!$A$5:$AN$5,0))</f>
        <v>94</v>
      </c>
      <c r="Y7" s="10">
        <f>INDEX(DriversGams!$A$5:$AN$23,MATCH(Drivers!$A7,DriversGams!$A$5:$A$23,0),MATCH(Drivers!Y$5,DriversGams!$A$5:$AN$5,0))</f>
        <v>95.83</v>
      </c>
      <c r="Z7" s="10">
        <f>INDEX(DriversGams!$A$5:$AN$23,MATCH(Drivers!$A7,DriversGams!$A$5:$A$23,0),MATCH(Drivers!Z$5,DriversGams!$A$5:$AN$5,0))</f>
        <v>97.69</v>
      </c>
      <c r="AA7" s="10">
        <f>INDEX(DriversGams!$A$5:$AN$23,MATCH(Drivers!$A7,DriversGams!$A$5:$A$23,0),MATCH(Drivers!AA$5,DriversGams!$A$5:$AN$5,0))</f>
        <v>99.72</v>
      </c>
      <c r="AB7" s="10">
        <f>INDEX(DriversGams!$A$5:$AN$23,MATCH(Drivers!$A7,DriversGams!$A$5:$A$23,0),MATCH(Drivers!AB$5,DriversGams!$A$5:$AN$5,0))</f>
        <v>101.85</v>
      </c>
      <c r="AC7" s="10">
        <f>INDEX(DriversGams!$A$5:$AN$23,MATCH(Drivers!$A7,DriversGams!$A$5:$A$23,0),MATCH(Drivers!AC$5,DriversGams!$A$5:$AN$5,0))</f>
        <v>104.02</v>
      </c>
      <c r="AD7" s="10">
        <f>INDEX(DriversGams!$A$5:$AN$23,MATCH(Drivers!$A7,DriversGams!$A$5:$A$23,0),MATCH(Drivers!AD$5,DriversGams!$A$5:$AN$5,0))</f>
        <v>106.26</v>
      </c>
      <c r="AE7" s="10">
        <f>INDEX(DriversGams!$A$5:$AN$23,MATCH(Drivers!$A7,DriversGams!$A$5:$A$23,0),MATCH(Drivers!AE$5,DriversGams!$A$5:$AN$5,0))</f>
        <v>108.6</v>
      </c>
      <c r="AF7" s="10">
        <f>INDEX(DriversGams!$A$5:$AN$23,MATCH(Drivers!$A7,DriversGams!$A$5:$A$23,0),MATCH(Drivers!AF$5,DriversGams!$A$5:$AN$5,0))</f>
        <v>120.7</v>
      </c>
      <c r="AG7" s="10">
        <f>INDEX(DriversGams!$A$5:$AN$23,MATCH(Drivers!$A7,DriversGams!$A$5:$A$23,0),MATCH(Drivers!AG$5,DriversGams!$A$5:$AN$5,0))</f>
        <v>136.25</v>
      </c>
      <c r="AH7" s="150"/>
      <c r="AI7" s="150"/>
      <c r="AJ7" s="150"/>
      <c r="AK7" s="150"/>
      <c r="AL7" s="150"/>
      <c r="AM7" s="150"/>
      <c r="AO7">
        <v>1</v>
      </c>
    </row>
    <row r="8" spans="1:41">
      <c r="A8" s="158" t="s">
        <v>4</v>
      </c>
      <c r="B8" s="4">
        <f>B7+1</f>
        <v>2</v>
      </c>
      <c r="C8" s="10">
        <f>INDEX(DriversGams!$A$5:$AN$23,MATCH(Drivers!$A8,DriversGams!$A$5:$A$23,0),MATCH(Drivers!C$5,DriversGams!$A$5:$AN$5,0))</f>
        <v>1833.85</v>
      </c>
      <c r="D8" s="10">
        <f>INDEX(DriversGams!$A$5:$AN$23,MATCH(Drivers!$A8,DriversGams!$A$5:$A$23,0),MATCH(Drivers!D$5,DriversGams!$A$5:$AN$5,0))</f>
        <v>1884.55</v>
      </c>
      <c r="E8" s="10">
        <f>INDEX(DriversGams!$A$5:$AN$23,MATCH(Drivers!$A8,DriversGams!$A$5:$A$23,0),MATCH(Drivers!E$5,DriversGams!$A$5:$AN$5,0))</f>
        <v>1927.88</v>
      </c>
      <c r="F8" s="10">
        <f>INDEX(DriversGams!$A$5:$AN$23,MATCH(Drivers!$A8,DriversGams!$A$5:$A$23,0),MATCH(Drivers!F$5,DriversGams!$A$5:$AN$5,0))</f>
        <v>1957.41</v>
      </c>
      <c r="G8" s="10">
        <f>INDEX(DriversGams!$A$5:$AN$23,MATCH(Drivers!$A8,DriversGams!$A$5:$A$23,0),MATCH(Drivers!G$5,DriversGams!$A$5:$AN$5,0))</f>
        <v>1982.72</v>
      </c>
      <c r="H8" s="10">
        <f>INDEX(DriversGams!$A$5:$AN$23,MATCH(Drivers!$A8,DriversGams!$A$5:$A$23,0),MATCH(Drivers!H$5,DriversGams!$A$5:$AN$5,0))</f>
        <v>2007.4</v>
      </c>
      <c r="I8" s="10">
        <f>INDEX(DriversGams!$A$5:$AN$23,MATCH(Drivers!$A8,DriversGams!$A$5:$A$23,0),MATCH(Drivers!I$5,DriversGams!$A$5:$AN$5,0))</f>
        <v>2036.6</v>
      </c>
      <c r="J8" s="10">
        <f>INDEX(DriversGams!$A$5:$AN$23,MATCH(Drivers!$A8,DriversGams!$A$5:$A$23,0),MATCH(Drivers!J$5,DriversGams!$A$5:$AN$5,0))</f>
        <v>2071.14</v>
      </c>
      <c r="K8" s="10">
        <f>INDEX(DriversGams!$A$5:$AN$23,MATCH(Drivers!$A8,DriversGams!$A$5:$A$23,0),MATCH(Drivers!K$5,DriversGams!$A$5:$AN$5,0))</f>
        <v>1915.6</v>
      </c>
      <c r="L8" s="10">
        <f>INDEX(DriversGams!$A$5:$AN$23,MATCH(Drivers!$A8,DriversGams!$A$5:$A$23,0),MATCH(Drivers!L$5,DriversGams!$A$5:$AN$5,0))</f>
        <v>1960.19</v>
      </c>
      <c r="M8" s="10">
        <f>INDEX(DriversGams!$A$5:$AN$23,MATCH(Drivers!$A8,DriversGams!$A$5:$A$23,0),MATCH(Drivers!M$5,DriversGams!$A$5:$AN$5,0))</f>
        <v>2004.23</v>
      </c>
      <c r="N8" s="10">
        <f>INDEX(DriversGams!$A$5:$AN$23,MATCH(Drivers!$A8,DriversGams!$A$5:$A$23,0),MATCH(Drivers!N$5,DriversGams!$A$5:$AN$5,0))</f>
        <v>2048.11</v>
      </c>
      <c r="O8" s="10">
        <f>INDEX(DriversGams!$A$5:$AN$23,MATCH(Drivers!$A8,DriversGams!$A$5:$A$23,0),MATCH(Drivers!O$5,DriversGams!$A$5:$AN$5,0))</f>
        <v>2091.16</v>
      </c>
      <c r="P8" s="10">
        <f>INDEX(DriversGams!$A$5:$AN$23,MATCH(Drivers!$A8,DriversGams!$A$5:$A$23,0),MATCH(Drivers!P$5,DriversGams!$A$5:$AN$5,0))</f>
        <v>2135.91</v>
      </c>
      <c r="Q8" s="10">
        <f>INDEX(DriversGams!$A$5:$AN$23,MATCH(Drivers!$A8,DriversGams!$A$5:$A$23,0),MATCH(Drivers!Q$5,DriversGams!$A$5:$AN$5,0))</f>
        <v>2188.48</v>
      </c>
      <c r="R8" s="10">
        <f>INDEX(DriversGams!$A$5:$AN$23,MATCH(Drivers!$A8,DriversGams!$A$5:$A$23,0),MATCH(Drivers!R$5,DriversGams!$A$5:$AN$5,0))</f>
        <v>2240.58</v>
      </c>
      <c r="S8" s="10">
        <f>INDEX(DriversGams!$A$5:$AN$23,MATCH(Drivers!$A8,DriversGams!$A$5:$A$23,0),MATCH(Drivers!S$5,DriversGams!$A$5:$AN$5,0))</f>
        <v>2295.15</v>
      </c>
      <c r="T8" s="10">
        <f>INDEX(DriversGams!$A$5:$AN$23,MATCH(Drivers!$A8,DriversGams!$A$5:$A$23,0),MATCH(Drivers!T$5,DriversGams!$A$5:$AN$5,0))</f>
        <v>2351.59</v>
      </c>
      <c r="U8" s="10">
        <f>INDEX(DriversGams!$A$5:$AN$23,MATCH(Drivers!$A8,DriversGams!$A$5:$A$23,0),MATCH(Drivers!U$5,DriversGams!$A$5:$AN$5,0))</f>
        <v>2409.79</v>
      </c>
      <c r="V8" s="10">
        <f>INDEX(DriversGams!$A$5:$AN$23,MATCH(Drivers!$A8,DriversGams!$A$5:$A$23,0),MATCH(Drivers!V$5,DriversGams!$A$5:$AN$5,0))</f>
        <v>2477.56</v>
      </c>
      <c r="W8" s="10">
        <f>INDEX(DriversGams!$A$5:$AN$23,MATCH(Drivers!$A8,DriversGams!$A$5:$A$23,0),MATCH(Drivers!W$5,DriversGams!$A$5:$AN$5,0))</f>
        <v>2544.31</v>
      </c>
      <c r="X8" s="10">
        <f>INDEX(DriversGams!$A$5:$AN$23,MATCH(Drivers!$A8,DriversGams!$A$5:$A$23,0),MATCH(Drivers!X$5,DriversGams!$A$5:$AN$5,0))</f>
        <v>2617.34</v>
      </c>
      <c r="Y8" s="10">
        <f>INDEX(DriversGams!$A$5:$AN$23,MATCH(Drivers!$A8,DriversGams!$A$5:$A$23,0),MATCH(Drivers!Y$5,DriversGams!$A$5:$AN$5,0))</f>
        <v>2695.68</v>
      </c>
      <c r="Z8" s="10">
        <f>INDEX(DriversGams!$A$5:$AN$23,MATCH(Drivers!$A8,DriversGams!$A$5:$A$23,0),MATCH(Drivers!Z$5,DriversGams!$A$5:$AN$5,0))</f>
        <v>2779.08</v>
      </c>
      <c r="AA8" s="10">
        <f>INDEX(DriversGams!$A$5:$AN$23,MATCH(Drivers!$A8,DriversGams!$A$5:$A$23,0),MATCH(Drivers!AA$5,DriversGams!$A$5:$AN$5,0))</f>
        <v>2866.42</v>
      </c>
      <c r="AB8" s="10">
        <f>INDEX(DriversGams!$A$5:$AN$23,MATCH(Drivers!$A8,DriversGams!$A$5:$A$23,0),MATCH(Drivers!AB$5,DriversGams!$A$5:$AN$5,0))</f>
        <v>2957.38</v>
      </c>
      <c r="AC8" s="10">
        <f>INDEX(DriversGams!$A$5:$AN$23,MATCH(Drivers!$A8,DriversGams!$A$5:$A$23,0),MATCH(Drivers!AC$5,DriversGams!$A$5:$AN$5,0))</f>
        <v>3050.01</v>
      </c>
      <c r="AD8" s="10">
        <f>INDEX(DriversGams!$A$5:$AN$23,MATCH(Drivers!$A8,DriversGams!$A$5:$A$23,0),MATCH(Drivers!AD$5,DriversGams!$A$5:$AN$5,0))</f>
        <v>3146.53</v>
      </c>
      <c r="AE8" s="10">
        <f>INDEX(DriversGams!$A$5:$AN$23,MATCH(Drivers!$A8,DriversGams!$A$5:$A$23,0),MATCH(Drivers!AE$5,DriversGams!$A$5:$AN$5,0))</f>
        <v>3249.04</v>
      </c>
      <c r="AF8" s="10">
        <f>INDEX(DriversGams!$A$5:$AN$23,MATCH(Drivers!$A8,DriversGams!$A$5:$A$23,0),MATCH(Drivers!AF$5,DriversGams!$A$5:$AN$5,0))</f>
        <v>3831.42</v>
      </c>
      <c r="AG8" s="10">
        <f>INDEX(DriversGams!$A$5:$AN$23,MATCH(Drivers!$A8,DriversGams!$A$5:$A$23,0),MATCH(Drivers!AG$5,DriversGams!$A$5:$AN$5,0))</f>
        <v>4560.04</v>
      </c>
      <c r="AH8" s="150"/>
      <c r="AI8" s="150"/>
      <c r="AJ8" s="150"/>
      <c r="AK8" s="150"/>
      <c r="AL8" s="150"/>
      <c r="AM8" s="150"/>
      <c r="AO8">
        <f>AO7+1</f>
        <v>2</v>
      </c>
    </row>
    <row r="9" spans="1:41">
      <c r="A9" s="158" t="s">
        <v>547</v>
      </c>
      <c r="B9" s="225">
        <f t="shared" ref="B9:B34" si="2">B8+1</f>
        <v>3</v>
      </c>
      <c r="C9" s="10">
        <f>INDEX(DriversGams!$A$5:$AN$23,MATCH(Drivers!$A9,DriversGams!$A$5:$A$23,0),MATCH(Drivers!C$5,DriversGams!$A$5:$AN$5,0))</f>
        <v>52.81</v>
      </c>
      <c r="D9" s="10">
        <f>INDEX(DriversGams!$A$5:$AN$23,MATCH(Drivers!$A9,DriversGams!$A$5:$A$23,0),MATCH(Drivers!D$5,DriversGams!$A$5:$AN$5,0))</f>
        <v>54.31</v>
      </c>
      <c r="E9" s="10">
        <f>INDEX(DriversGams!$A$5:$AN$23,MATCH(Drivers!$A9,DriversGams!$A$5:$A$23,0),MATCH(Drivers!E$5,DriversGams!$A$5:$AN$5,0))</f>
        <v>55.26</v>
      </c>
      <c r="F9" s="10">
        <f>INDEX(DriversGams!$A$5:$AN$23,MATCH(Drivers!$A9,DriversGams!$A$5:$A$23,0),MATCH(Drivers!F$5,DriversGams!$A$5:$AN$5,0))</f>
        <v>55.73</v>
      </c>
      <c r="G9" s="10">
        <f>INDEX(DriversGams!$A$5:$AN$23,MATCH(Drivers!$A9,DriversGams!$A$5:$A$23,0),MATCH(Drivers!G$5,DriversGams!$A$5:$AN$5,0))</f>
        <v>56.3</v>
      </c>
      <c r="H9" s="10">
        <f>INDEX(DriversGams!$A$5:$AN$23,MATCH(Drivers!$A9,DriversGams!$A$5:$A$23,0),MATCH(Drivers!H$5,DriversGams!$A$5:$AN$5,0))</f>
        <v>56.6</v>
      </c>
      <c r="I9" s="10">
        <f>INDEX(DriversGams!$A$5:$AN$23,MATCH(Drivers!$A9,DriversGams!$A$5:$A$23,0),MATCH(Drivers!I$5,DriversGams!$A$5:$AN$5,0))</f>
        <v>57.09</v>
      </c>
      <c r="J9" s="10">
        <f>INDEX(DriversGams!$A$5:$AN$23,MATCH(Drivers!$A9,DriversGams!$A$5:$A$23,0),MATCH(Drivers!J$5,DriversGams!$A$5:$AN$5,0))</f>
        <v>56.96</v>
      </c>
      <c r="K9" s="10">
        <f>INDEX(DriversGams!$A$5:$AN$23,MATCH(Drivers!$A9,DriversGams!$A$5:$A$23,0),MATCH(Drivers!K$5,DriversGams!$A$5:$AN$5,0))</f>
        <v>52.37</v>
      </c>
      <c r="L9" s="10">
        <f>INDEX(DriversGams!$A$5:$AN$23,MATCH(Drivers!$A9,DriversGams!$A$5:$A$23,0),MATCH(Drivers!L$5,DriversGams!$A$5:$AN$5,0))</f>
        <v>53.76</v>
      </c>
      <c r="M9" s="10">
        <f>INDEX(DriversGams!$A$5:$AN$23,MATCH(Drivers!$A9,DriversGams!$A$5:$A$23,0),MATCH(Drivers!M$5,DriversGams!$A$5:$AN$5,0))</f>
        <v>55.02</v>
      </c>
      <c r="N9" s="10">
        <f>INDEX(DriversGams!$A$5:$AN$23,MATCH(Drivers!$A9,DriversGams!$A$5:$A$23,0),MATCH(Drivers!N$5,DriversGams!$A$5:$AN$5,0))</f>
        <v>56.21</v>
      </c>
      <c r="O9" s="10">
        <f>INDEX(DriversGams!$A$5:$AN$23,MATCH(Drivers!$A9,DriversGams!$A$5:$A$23,0),MATCH(Drivers!O$5,DriversGams!$A$5:$AN$5,0))</f>
        <v>57.35</v>
      </c>
      <c r="P9" s="10">
        <f>INDEX(DriversGams!$A$5:$AN$23,MATCH(Drivers!$A9,DriversGams!$A$5:$A$23,0),MATCH(Drivers!P$5,DriversGams!$A$5:$AN$5,0))</f>
        <v>58.59</v>
      </c>
      <c r="Q9" s="10">
        <f>INDEX(DriversGams!$A$5:$AN$23,MATCH(Drivers!$A9,DriversGams!$A$5:$A$23,0),MATCH(Drivers!Q$5,DriversGams!$A$5:$AN$5,0))</f>
        <v>60.17</v>
      </c>
      <c r="R9" s="10">
        <f>INDEX(DriversGams!$A$5:$AN$23,MATCH(Drivers!$A9,DriversGams!$A$5:$A$23,0),MATCH(Drivers!R$5,DriversGams!$A$5:$AN$5,0))</f>
        <v>61.72</v>
      </c>
      <c r="S9" s="10">
        <f>INDEX(DriversGams!$A$5:$AN$23,MATCH(Drivers!$A9,DriversGams!$A$5:$A$23,0),MATCH(Drivers!S$5,DriversGams!$A$5:$AN$5,0))</f>
        <v>63.31</v>
      </c>
      <c r="T9" s="10">
        <f>INDEX(DriversGams!$A$5:$AN$23,MATCH(Drivers!$A9,DriversGams!$A$5:$A$23,0),MATCH(Drivers!T$5,DriversGams!$A$5:$AN$5,0))</f>
        <v>65.09</v>
      </c>
      <c r="U9" s="10">
        <f>INDEX(DriversGams!$A$5:$AN$23,MATCH(Drivers!$A9,DriversGams!$A$5:$A$23,0),MATCH(Drivers!U$5,DriversGams!$A$5:$AN$5,0))</f>
        <v>66.930000000000007</v>
      </c>
      <c r="V9" s="10">
        <f>INDEX(DriversGams!$A$5:$AN$23,MATCH(Drivers!$A9,DriversGams!$A$5:$A$23,0),MATCH(Drivers!V$5,DriversGams!$A$5:$AN$5,0))</f>
        <v>68.83</v>
      </c>
      <c r="W9" s="10">
        <f>INDEX(DriversGams!$A$5:$AN$23,MATCH(Drivers!$A9,DriversGams!$A$5:$A$23,0),MATCH(Drivers!W$5,DriversGams!$A$5:$AN$5,0))</f>
        <v>70.67</v>
      </c>
      <c r="X9" s="10">
        <f>INDEX(DriversGams!$A$5:$AN$23,MATCH(Drivers!$A9,DriversGams!$A$5:$A$23,0),MATCH(Drivers!X$5,DriversGams!$A$5:$AN$5,0))</f>
        <v>72.69</v>
      </c>
      <c r="Y9" s="10">
        <f>INDEX(DriversGams!$A$5:$AN$23,MATCH(Drivers!$A9,DriversGams!$A$5:$A$23,0),MATCH(Drivers!Y$5,DriversGams!$A$5:$AN$5,0))</f>
        <v>74.849999999999994</v>
      </c>
      <c r="Z9" s="10">
        <f>INDEX(DriversGams!$A$5:$AN$23,MATCH(Drivers!$A9,DriversGams!$A$5:$A$23,0),MATCH(Drivers!Z$5,DriversGams!$A$5:$AN$5,0))</f>
        <v>77.23</v>
      </c>
      <c r="AA9" s="10">
        <f>INDEX(DriversGams!$A$5:$AN$23,MATCH(Drivers!$A9,DriversGams!$A$5:$A$23,0),MATCH(Drivers!AA$5,DriversGams!$A$5:$AN$5,0))</f>
        <v>79.680000000000007</v>
      </c>
      <c r="AB9" s="10">
        <f>INDEX(DriversGams!$A$5:$AN$23,MATCH(Drivers!$A9,DriversGams!$A$5:$A$23,0),MATCH(Drivers!AB$5,DriversGams!$A$5:$AN$5,0))</f>
        <v>82.2</v>
      </c>
      <c r="AC9" s="10">
        <f>INDEX(DriversGams!$A$5:$AN$23,MATCH(Drivers!$A9,DriversGams!$A$5:$A$23,0),MATCH(Drivers!AC$5,DriversGams!$A$5:$AN$5,0))</f>
        <v>84.75</v>
      </c>
      <c r="AD9" s="10">
        <f>INDEX(DriversGams!$A$5:$AN$23,MATCH(Drivers!$A9,DriversGams!$A$5:$A$23,0),MATCH(Drivers!AD$5,DriversGams!$A$5:$AN$5,0))</f>
        <v>87.38</v>
      </c>
      <c r="AE9" s="10">
        <f>INDEX(DriversGams!$A$5:$AN$23,MATCH(Drivers!$A9,DriversGams!$A$5:$A$23,0),MATCH(Drivers!AE$5,DriversGams!$A$5:$AN$5,0))</f>
        <v>90.15</v>
      </c>
      <c r="AF9" s="10">
        <f>INDEX(DriversGams!$A$5:$AN$23,MATCH(Drivers!$A9,DriversGams!$A$5:$A$23,0),MATCH(Drivers!AF$5,DriversGams!$A$5:$AN$5,0))</f>
        <v>105</v>
      </c>
      <c r="AG9" s="10">
        <f>INDEX(DriversGams!$A$5:$AN$23,MATCH(Drivers!$A9,DriversGams!$A$5:$A$23,0),MATCH(Drivers!AG$5,DriversGams!$A$5:$AN$5,0))</f>
        <v>123.19</v>
      </c>
      <c r="AH9" s="150"/>
      <c r="AI9" s="150"/>
      <c r="AJ9" s="150"/>
      <c r="AK9" s="150"/>
      <c r="AL9" s="150"/>
      <c r="AM9" s="150"/>
      <c r="AO9" s="4">
        <f t="shared" ref="AO9:AO22" si="3">AO8+1</f>
        <v>3</v>
      </c>
    </row>
    <row r="10" spans="1:41">
      <c r="A10" s="158" t="s">
        <v>544</v>
      </c>
      <c r="B10" s="225">
        <f t="shared" si="2"/>
        <v>4</v>
      </c>
      <c r="C10" s="10">
        <f>INDEX(DriversGams!$A$5:$AN$23,MATCH(Drivers!$A10,DriversGams!$A$5:$A$23,0),MATCH(Drivers!C$5,DriversGams!$A$5:$AN$5,0))</f>
        <v>93.1</v>
      </c>
      <c r="D10" s="10">
        <f>INDEX(DriversGams!$A$5:$AN$23,MATCH(Drivers!$A10,DriversGams!$A$5:$A$23,0),MATCH(Drivers!D$5,DriversGams!$A$5:$AN$5,0))</f>
        <v>94.81</v>
      </c>
      <c r="E10" s="10">
        <f>INDEX(DriversGams!$A$5:$AN$23,MATCH(Drivers!$A10,DriversGams!$A$5:$A$23,0),MATCH(Drivers!E$5,DriversGams!$A$5:$AN$5,0))</f>
        <v>96.04</v>
      </c>
      <c r="F10" s="10">
        <f>INDEX(DriversGams!$A$5:$AN$23,MATCH(Drivers!$A10,DriversGams!$A$5:$A$23,0),MATCH(Drivers!F$5,DriversGams!$A$5:$AN$5,0))</f>
        <v>96.13</v>
      </c>
      <c r="G10" s="10">
        <f>INDEX(DriversGams!$A$5:$AN$23,MATCH(Drivers!$A10,DriversGams!$A$5:$A$23,0),MATCH(Drivers!G$5,DriversGams!$A$5:$AN$5,0))</f>
        <v>97.44</v>
      </c>
      <c r="H10" s="10">
        <f>INDEX(DriversGams!$A$5:$AN$23,MATCH(Drivers!$A10,DriversGams!$A$5:$A$23,0),MATCH(Drivers!H$5,DriversGams!$A$5:$AN$5,0))</f>
        <v>97.81</v>
      </c>
      <c r="I10" s="10">
        <f>INDEX(DriversGams!$A$5:$AN$23,MATCH(Drivers!$A10,DriversGams!$A$5:$A$23,0),MATCH(Drivers!I$5,DriversGams!$A$5:$AN$5,0))</f>
        <v>98.48</v>
      </c>
      <c r="J10" s="10">
        <f>INDEX(DriversGams!$A$5:$AN$23,MATCH(Drivers!$A10,DriversGams!$A$5:$A$23,0),MATCH(Drivers!J$5,DriversGams!$A$5:$AN$5,0))</f>
        <v>97.71</v>
      </c>
      <c r="K10" s="10">
        <f>INDEX(DriversGams!$A$5:$AN$23,MATCH(Drivers!$A10,DriversGams!$A$5:$A$23,0),MATCH(Drivers!K$5,DriversGams!$A$5:$AN$5,0))</f>
        <v>92.79</v>
      </c>
      <c r="L10" s="10">
        <f>INDEX(DriversGams!$A$5:$AN$23,MATCH(Drivers!$A10,DriversGams!$A$5:$A$23,0),MATCH(Drivers!L$5,DriversGams!$A$5:$AN$5,0))</f>
        <v>95.58</v>
      </c>
      <c r="M10" s="10">
        <f>INDEX(DriversGams!$A$5:$AN$23,MATCH(Drivers!$A10,DriversGams!$A$5:$A$23,0),MATCH(Drivers!M$5,DriversGams!$A$5:$AN$5,0))</f>
        <v>98.13</v>
      </c>
      <c r="N10" s="10">
        <f>INDEX(DriversGams!$A$5:$AN$23,MATCH(Drivers!$A10,DriversGams!$A$5:$A$23,0),MATCH(Drivers!N$5,DriversGams!$A$5:$AN$5,0))</f>
        <v>100.22</v>
      </c>
      <c r="O10" s="10">
        <f>INDEX(DriversGams!$A$5:$AN$23,MATCH(Drivers!$A10,DriversGams!$A$5:$A$23,0),MATCH(Drivers!O$5,DriversGams!$A$5:$AN$5,0))</f>
        <v>102.18</v>
      </c>
      <c r="P10" s="10">
        <f>INDEX(DriversGams!$A$5:$AN$23,MATCH(Drivers!$A10,DriversGams!$A$5:$A$23,0),MATCH(Drivers!P$5,DriversGams!$A$5:$AN$5,0))</f>
        <v>104.28</v>
      </c>
      <c r="Q10" s="10">
        <f>INDEX(DriversGams!$A$5:$AN$23,MATCH(Drivers!$A10,DriversGams!$A$5:$A$23,0),MATCH(Drivers!Q$5,DriversGams!$A$5:$AN$5,0))</f>
        <v>107.16</v>
      </c>
      <c r="R10" s="10">
        <f>INDEX(DriversGams!$A$5:$AN$23,MATCH(Drivers!$A10,DriversGams!$A$5:$A$23,0),MATCH(Drivers!R$5,DriversGams!$A$5:$AN$5,0))</f>
        <v>109.9</v>
      </c>
      <c r="S10" s="10">
        <f>INDEX(DriversGams!$A$5:$AN$23,MATCH(Drivers!$A10,DriversGams!$A$5:$A$23,0),MATCH(Drivers!S$5,DriversGams!$A$5:$AN$5,0))</f>
        <v>112.65</v>
      </c>
      <c r="T10" s="10">
        <f>INDEX(DriversGams!$A$5:$AN$23,MATCH(Drivers!$A10,DriversGams!$A$5:$A$23,0),MATCH(Drivers!T$5,DriversGams!$A$5:$AN$5,0))</f>
        <v>115.22</v>
      </c>
      <c r="U10" s="10">
        <f>INDEX(DriversGams!$A$5:$AN$23,MATCH(Drivers!$A10,DriversGams!$A$5:$A$23,0),MATCH(Drivers!U$5,DriversGams!$A$5:$AN$5,0))</f>
        <v>117.84</v>
      </c>
      <c r="V10" s="10">
        <f>INDEX(DriversGams!$A$5:$AN$23,MATCH(Drivers!$A10,DriversGams!$A$5:$A$23,0),MATCH(Drivers!V$5,DriversGams!$A$5:$AN$5,0))</f>
        <v>120.44</v>
      </c>
      <c r="W10" s="10">
        <f>INDEX(DriversGams!$A$5:$AN$23,MATCH(Drivers!$A10,DriversGams!$A$5:$A$23,0),MATCH(Drivers!W$5,DriversGams!$A$5:$AN$5,0))</f>
        <v>122.85</v>
      </c>
      <c r="X10" s="10">
        <f>INDEX(DriversGams!$A$5:$AN$23,MATCH(Drivers!$A10,DriversGams!$A$5:$A$23,0),MATCH(Drivers!X$5,DriversGams!$A$5:$AN$5,0))</f>
        <v>125.47</v>
      </c>
      <c r="Y10" s="10">
        <f>INDEX(DriversGams!$A$5:$AN$23,MATCH(Drivers!$A10,DriversGams!$A$5:$A$23,0),MATCH(Drivers!Y$5,DriversGams!$A$5:$AN$5,0))</f>
        <v>128.21</v>
      </c>
      <c r="Z10" s="10">
        <f>INDEX(DriversGams!$A$5:$AN$23,MATCH(Drivers!$A10,DriversGams!$A$5:$A$23,0),MATCH(Drivers!Z$5,DriversGams!$A$5:$AN$5,0))</f>
        <v>131.01</v>
      </c>
      <c r="AA10" s="10">
        <f>INDEX(DriversGams!$A$5:$AN$23,MATCH(Drivers!$A10,DriversGams!$A$5:$A$23,0),MATCH(Drivers!AA$5,DriversGams!$A$5:$AN$5,0))</f>
        <v>134.12</v>
      </c>
      <c r="AB10" s="10">
        <f>INDEX(DriversGams!$A$5:$AN$23,MATCH(Drivers!$A10,DriversGams!$A$5:$A$23,0),MATCH(Drivers!AB$5,DriversGams!$A$5:$AN$5,0))</f>
        <v>137.33000000000001</v>
      </c>
      <c r="AC10" s="10">
        <f>INDEX(DriversGams!$A$5:$AN$23,MATCH(Drivers!$A10,DriversGams!$A$5:$A$23,0),MATCH(Drivers!AC$5,DriversGams!$A$5:$AN$5,0))</f>
        <v>140.49</v>
      </c>
      <c r="AD10" s="10">
        <f>INDEX(DriversGams!$A$5:$AN$23,MATCH(Drivers!$A10,DriversGams!$A$5:$A$23,0),MATCH(Drivers!AD$5,DriversGams!$A$5:$AN$5,0))</f>
        <v>143.72</v>
      </c>
      <c r="AE10" s="10">
        <f>INDEX(DriversGams!$A$5:$AN$23,MATCH(Drivers!$A10,DriversGams!$A$5:$A$23,0),MATCH(Drivers!AE$5,DriversGams!$A$5:$AN$5,0))</f>
        <v>147.09</v>
      </c>
      <c r="AF10" s="10">
        <f>INDEX(DriversGams!$A$5:$AN$23,MATCH(Drivers!$A10,DriversGams!$A$5:$A$23,0),MATCH(Drivers!AF$5,DriversGams!$A$5:$AN$5,0))</f>
        <v>164.01</v>
      </c>
      <c r="AG10" s="10">
        <f>INDEX(DriversGams!$A$5:$AN$23,MATCH(Drivers!$A10,DriversGams!$A$5:$A$23,0),MATCH(Drivers!AG$5,DriversGams!$A$5:$AN$5,0))</f>
        <v>184.39</v>
      </c>
      <c r="AH10" s="150"/>
      <c r="AI10" s="150"/>
      <c r="AJ10" s="150"/>
      <c r="AK10" s="150"/>
      <c r="AL10" s="150"/>
      <c r="AM10" s="150"/>
      <c r="AO10" s="4">
        <f t="shared" si="3"/>
        <v>4</v>
      </c>
    </row>
    <row r="11" spans="1:41">
      <c r="A11" s="158" t="s">
        <v>635</v>
      </c>
      <c r="B11" s="225">
        <f t="shared" si="2"/>
        <v>5</v>
      </c>
      <c r="C11" s="10">
        <f>INDEX(DriversGams!$A$5:$AN$23,MATCH(Drivers!$A11,DriversGams!$A$5:$A$23,0),MATCH(Drivers!C$5,DriversGams!$A$5:$AN$5,0))</f>
        <v>0</v>
      </c>
      <c r="D11" s="10">
        <f>INDEX(DriversGams!$A$5:$AN$23,MATCH(Drivers!$A11,DriversGams!$A$5:$A$23,0),MATCH(Drivers!D$5,DriversGams!$A$5:$AN$5,0))</f>
        <v>0</v>
      </c>
      <c r="E11" s="10">
        <f>INDEX(DriversGams!$A$5:$AN$23,MATCH(Drivers!$A11,DriversGams!$A$5:$A$23,0),MATCH(Drivers!E$5,DriversGams!$A$5:$AN$5,0))</f>
        <v>0</v>
      </c>
      <c r="F11" s="10">
        <f>INDEX(DriversGams!$A$5:$AN$23,MATCH(Drivers!$A11,DriversGams!$A$5:$A$23,0),MATCH(Drivers!F$5,DriversGams!$A$5:$AN$5,0))</f>
        <v>0</v>
      </c>
      <c r="G11" s="10">
        <f>INDEX(DriversGams!$A$5:$AN$23,MATCH(Drivers!$A11,DriversGams!$A$5:$A$23,0),MATCH(Drivers!G$5,DriversGams!$A$5:$AN$5,0))</f>
        <v>0</v>
      </c>
      <c r="H11" s="10">
        <f>INDEX(DriversGams!$A$5:$AN$23,MATCH(Drivers!$A11,DriversGams!$A$5:$A$23,0),MATCH(Drivers!H$5,DriversGams!$A$5:$AN$5,0))</f>
        <v>0</v>
      </c>
      <c r="I11" s="10">
        <f>INDEX(DriversGams!$A$5:$AN$23,MATCH(Drivers!$A11,DriversGams!$A$5:$A$23,0),MATCH(Drivers!I$5,DriversGams!$A$5:$AN$5,0))</f>
        <v>0</v>
      </c>
      <c r="J11" s="10">
        <f>INDEX(DriversGams!$A$5:$AN$23,MATCH(Drivers!$A11,DriversGams!$A$5:$A$23,0),MATCH(Drivers!J$5,DriversGams!$A$5:$AN$5,0))</f>
        <v>0</v>
      </c>
      <c r="K11" s="10">
        <f>INDEX(DriversGams!$A$5:$AN$23,MATCH(Drivers!$A11,DriversGams!$A$5:$A$23,0),MATCH(Drivers!K$5,DriversGams!$A$5:$AN$5,0))</f>
        <v>0</v>
      </c>
      <c r="L11" s="10">
        <f>INDEX(DriversGams!$A$5:$AN$23,MATCH(Drivers!$A11,DriversGams!$A$5:$A$23,0),MATCH(Drivers!L$5,DriversGams!$A$5:$AN$5,0))</f>
        <v>0</v>
      </c>
      <c r="M11" s="10">
        <f>INDEX(DriversGams!$A$5:$AN$23,MATCH(Drivers!$A11,DriversGams!$A$5:$A$23,0),MATCH(Drivers!M$5,DriversGams!$A$5:$AN$5,0))</f>
        <v>0</v>
      </c>
      <c r="N11" s="10">
        <f>INDEX(DriversGams!$A$5:$AN$23,MATCH(Drivers!$A11,DriversGams!$A$5:$A$23,0),MATCH(Drivers!N$5,DriversGams!$A$5:$AN$5,0))</f>
        <v>0</v>
      </c>
      <c r="O11" s="10">
        <f>INDEX(DriversGams!$A$5:$AN$23,MATCH(Drivers!$A11,DriversGams!$A$5:$A$23,0),MATCH(Drivers!O$5,DriversGams!$A$5:$AN$5,0))</f>
        <v>0</v>
      </c>
      <c r="P11" s="10">
        <f>INDEX(DriversGams!$A$5:$AN$23,MATCH(Drivers!$A11,DriversGams!$A$5:$A$23,0),MATCH(Drivers!P$5,DriversGams!$A$5:$AN$5,0))</f>
        <v>0</v>
      </c>
      <c r="Q11" s="10">
        <f>INDEX(DriversGams!$A$5:$AN$23,MATCH(Drivers!$A11,DriversGams!$A$5:$A$23,0),MATCH(Drivers!Q$5,DriversGams!$A$5:$AN$5,0))</f>
        <v>0</v>
      </c>
      <c r="R11" s="10">
        <f>INDEX(DriversGams!$A$5:$AN$23,MATCH(Drivers!$A11,DriversGams!$A$5:$A$23,0),MATCH(Drivers!R$5,DriversGams!$A$5:$AN$5,0))</f>
        <v>0</v>
      </c>
      <c r="S11" s="10">
        <f>INDEX(DriversGams!$A$5:$AN$23,MATCH(Drivers!$A11,DriversGams!$A$5:$A$23,0),MATCH(Drivers!S$5,DriversGams!$A$5:$AN$5,0))</f>
        <v>0</v>
      </c>
      <c r="T11" s="10">
        <f>INDEX(DriversGams!$A$5:$AN$23,MATCH(Drivers!$A11,DriversGams!$A$5:$A$23,0),MATCH(Drivers!T$5,DriversGams!$A$5:$AN$5,0))</f>
        <v>0.63</v>
      </c>
      <c r="U11" s="10">
        <f>INDEX(DriversGams!$A$5:$AN$23,MATCH(Drivers!$A11,DriversGams!$A$5:$A$23,0),MATCH(Drivers!U$5,DriversGams!$A$5:$AN$5,0))</f>
        <v>1.1000000000000001</v>
      </c>
      <c r="V11" s="10">
        <f>INDEX(DriversGams!$A$5:$AN$23,MATCH(Drivers!$A11,DriversGams!$A$5:$A$23,0),MATCH(Drivers!V$5,DriversGams!$A$5:$AN$5,0))</f>
        <v>1.62</v>
      </c>
      <c r="W11" s="10">
        <f>INDEX(DriversGams!$A$5:$AN$23,MATCH(Drivers!$A11,DriversGams!$A$5:$A$23,0),MATCH(Drivers!W$5,DriversGams!$A$5:$AN$5,0))</f>
        <v>2.14</v>
      </c>
      <c r="X11" s="10">
        <f>INDEX(DriversGams!$A$5:$AN$23,MATCH(Drivers!$A11,DriversGams!$A$5:$A$23,0),MATCH(Drivers!X$5,DriversGams!$A$5:$AN$5,0))</f>
        <v>2.65</v>
      </c>
      <c r="Y11" s="10">
        <f>INDEX(DriversGams!$A$5:$AN$23,MATCH(Drivers!$A11,DriversGams!$A$5:$A$23,0),MATCH(Drivers!Y$5,DriversGams!$A$5:$AN$5,0))</f>
        <v>3.15</v>
      </c>
      <c r="Z11" s="10">
        <f>INDEX(DriversGams!$A$5:$AN$23,MATCH(Drivers!$A11,DriversGams!$A$5:$A$23,0),MATCH(Drivers!Z$5,DriversGams!$A$5:$AN$5,0))</f>
        <v>3.95</v>
      </c>
      <c r="AA11" s="10">
        <f>INDEX(DriversGams!$A$5:$AN$23,MATCH(Drivers!$A11,DriversGams!$A$5:$A$23,0),MATCH(Drivers!AA$5,DriversGams!$A$5:$AN$5,0))</f>
        <v>4.43</v>
      </c>
      <c r="AB11" s="10">
        <f>INDEX(DriversGams!$A$5:$AN$23,MATCH(Drivers!$A11,DriversGams!$A$5:$A$23,0),MATCH(Drivers!AB$5,DriversGams!$A$5:$AN$5,0))</f>
        <v>4.9000000000000004</v>
      </c>
      <c r="AC11" s="10">
        <f>INDEX(DriversGams!$A$5:$AN$23,MATCH(Drivers!$A11,DriversGams!$A$5:$A$23,0),MATCH(Drivers!AC$5,DriversGams!$A$5:$AN$5,0))</f>
        <v>5.38</v>
      </c>
      <c r="AD11" s="10">
        <f>INDEX(DriversGams!$A$5:$AN$23,MATCH(Drivers!$A11,DriversGams!$A$5:$A$23,0),MATCH(Drivers!AD$5,DriversGams!$A$5:$AN$5,0))</f>
        <v>5.86</v>
      </c>
      <c r="AE11" s="10">
        <f>INDEX(DriversGams!$A$5:$AN$23,MATCH(Drivers!$A11,DriversGams!$A$5:$A$23,0),MATCH(Drivers!AE$5,DriversGams!$A$5:$AN$5,0))</f>
        <v>6.34</v>
      </c>
      <c r="AF11" s="10">
        <f>INDEX(DriversGams!$A$5:$AN$23,MATCH(Drivers!$A11,DriversGams!$A$5:$A$23,0),MATCH(Drivers!AF$5,DriversGams!$A$5:$AN$5,0))</f>
        <v>8.6</v>
      </c>
      <c r="AG11" s="10">
        <f>INDEX(DriversGams!$A$5:$AN$23,MATCH(Drivers!$A11,DriversGams!$A$5:$A$23,0),MATCH(Drivers!AG$5,DriversGams!$A$5:$AN$5,0))</f>
        <v>9.9</v>
      </c>
      <c r="AH11" s="150"/>
      <c r="AI11" s="150"/>
      <c r="AJ11" s="150"/>
      <c r="AK11" s="150"/>
      <c r="AL11" s="150"/>
      <c r="AM11" s="150"/>
      <c r="AO11" s="4">
        <f t="shared" si="3"/>
        <v>5</v>
      </c>
    </row>
    <row r="12" spans="1:41">
      <c r="A12" s="158" t="s">
        <v>389</v>
      </c>
      <c r="B12" s="225">
        <f t="shared" si="2"/>
        <v>6</v>
      </c>
      <c r="C12" s="10">
        <f>INDEX(DriversGams!$A$5:$AN$23,MATCH(Drivers!$A12,DriversGams!$A$5:$A$23,0),MATCH(Drivers!C$5,DriversGams!$A$5:$AN$5,0))</f>
        <v>13.35</v>
      </c>
      <c r="D12" s="10">
        <f>INDEX(DriversGams!$A$5:$AN$23,MATCH(Drivers!$A12,DriversGams!$A$5:$A$23,0),MATCH(Drivers!D$5,DriversGams!$A$5:$AN$5,0))</f>
        <v>13.74</v>
      </c>
      <c r="E12" s="10">
        <f>INDEX(DriversGams!$A$5:$AN$23,MATCH(Drivers!$A12,DriversGams!$A$5:$A$23,0),MATCH(Drivers!E$5,DriversGams!$A$5:$AN$5,0))</f>
        <v>13.91</v>
      </c>
      <c r="F12" s="10">
        <f>INDEX(DriversGams!$A$5:$AN$23,MATCH(Drivers!$A12,DriversGams!$A$5:$A$23,0),MATCH(Drivers!F$5,DriversGams!$A$5:$AN$5,0))</f>
        <v>14.13</v>
      </c>
      <c r="G12" s="10">
        <f>INDEX(DriversGams!$A$5:$AN$23,MATCH(Drivers!$A12,DriversGams!$A$5:$A$23,0),MATCH(Drivers!G$5,DriversGams!$A$5:$AN$5,0))</f>
        <v>14.15</v>
      </c>
      <c r="H12" s="10">
        <f>INDEX(DriversGams!$A$5:$AN$23,MATCH(Drivers!$A12,DriversGams!$A$5:$A$23,0),MATCH(Drivers!H$5,DriversGams!$A$5:$AN$5,0))</f>
        <v>14.18</v>
      </c>
      <c r="I12" s="10">
        <f>INDEX(DriversGams!$A$5:$AN$23,MATCH(Drivers!$A12,DriversGams!$A$5:$A$23,0),MATCH(Drivers!I$5,DriversGams!$A$5:$AN$5,0))</f>
        <v>14.21</v>
      </c>
      <c r="J12" s="10">
        <f>INDEX(DriversGams!$A$5:$AN$23,MATCH(Drivers!$A12,DriversGams!$A$5:$A$23,0),MATCH(Drivers!J$5,DriversGams!$A$5:$AN$5,0))</f>
        <v>14.08</v>
      </c>
      <c r="K12" s="10">
        <f>INDEX(DriversGams!$A$5:$AN$23,MATCH(Drivers!$A12,DriversGams!$A$5:$A$23,0),MATCH(Drivers!K$5,DriversGams!$A$5:$AN$5,0))</f>
        <v>12.26</v>
      </c>
      <c r="L12" s="10">
        <f>INDEX(DriversGams!$A$5:$AN$23,MATCH(Drivers!$A12,DriversGams!$A$5:$A$23,0),MATCH(Drivers!L$5,DriversGams!$A$5:$AN$5,0))</f>
        <v>12.65</v>
      </c>
      <c r="M12" s="10">
        <f>INDEX(DriversGams!$A$5:$AN$23,MATCH(Drivers!$A12,DriversGams!$A$5:$A$23,0),MATCH(Drivers!M$5,DriversGams!$A$5:$AN$5,0))</f>
        <v>12.9</v>
      </c>
      <c r="N12" s="10">
        <f>INDEX(DriversGams!$A$5:$AN$23,MATCH(Drivers!$A12,DriversGams!$A$5:$A$23,0),MATCH(Drivers!N$5,DriversGams!$A$5:$AN$5,0))</f>
        <v>13.13</v>
      </c>
      <c r="O12" s="10">
        <f>INDEX(DriversGams!$A$5:$AN$23,MATCH(Drivers!$A12,DriversGams!$A$5:$A$23,0),MATCH(Drivers!O$5,DriversGams!$A$5:$AN$5,0))</f>
        <v>13.34</v>
      </c>
      <c r="P12" s="10">
        <f>INDEX(DriversGams!$A$5:$AN$23,MATCH(Drivers!$A12,DriversGams!$A$5:$A$23,0),MATCH(Drivers!P$5,DriversGams!$A$5:$AN$5,0))</f>
        <v>13.63</v>
      </c>
      <c r="Q12" s="10">
        <f>INDEX(DriversGams!$A$5:$AN$23,MATCH(Drivers!$A12,DriversGams!$A$5:$A$23,0),MATCH(Drivers!Q$5,DriversGams!$A$5:$AN$5,0))</f>
        <v>14.12</v>
      </c>
      <c r="R12" s="10">
        <f>INDEX(DriversGams!$A$5:$AN$23,MATCH(Drivers!$A12,DriversGams!$A$5:$A$23,0),MATCH(Drivers!R$5,DriversGams!$A$5:$AN$5,0))</f>
        <v>14.6</v>
      </c>
      <c r="S12" s="10">
        <f>INDEX(DriversGams!$A$5:$AN$23,MATCH(Drivers!$A12,DriversGams!$A$5:$A$23,0),MATCH(Drivers!S$5,DriversGams!$A$5:$AN$5,0))</f>
        <v>15.08</v>
      </c>
      <c r="T12" s="10">
        <f>INDEX(DriversGams!$A$5:$AN$23,MATCH(Drivers!$A12,DriversGams!$A$5:$A$23,0),MATCH(Drivers!T$5,DriversGams!$A$5:$AN$5,0))</f>
        <v>15.43</v>
      </c>
      <c r="U12" s="10">
        <f>INDEX(DriversGams!$A$5:$AN$23,MATCH(Drivers!$A12,DriversGams!$A$5:$A$23,0),MATCH(Drivers!U$5,DriversGams!$A$5:$AN$5,0))</f>
        <v>15.88</v>
      </c>
      <c r="V12" s="10">
        <f>INDEX(DriversGams!$A$5:$AN$23,MATCH(Drivers!$A12,DriversGams!$A$5:$A$23,0),MATCH(Drivers!V$5,DriversGams!$A$5:$AN$5,0))</f>
        <v>16.239999999999998</v>
      </c>
      <c r="W12" s="10">
        <f>INDEX(DriversGams!$A$5:$AN$23,MATCH(Drivers!$A12,DriversGams!$A$5:$A$23,0),MATCH(Drivers!W$5,DriversGams!$A$5:$AN$5,0))</f>
        <v>16.559999999999999</v>
      </c>
      <c r="X12" s="10">
        <f>INDEX(DriversGams!$A$5:$AN$23,MATCH(Drivers!$A12,DriversGams!$A$5:$A$23,0),MATCH(Drivers!X$5,DriversGams!$A$5:$AN$5,0))</f>
        <v>16.93</v>
      </c>
      <c r="Y12" s="10">
        <f>INDEX(DriversGams!$A$5:$AN$23,MATCH(Drivers!$A12,DriversGams!$A$5:$A$23,0),MATCH(Drivers!Y$5,DriversGams!$A$5:$AN$5,0))</f>
        <v>17.34</v>
      </c>
      <c r="Z12" s="10">
        <f>INDEX(DriversGams!$A$5:$AN$23,MATCH(Drivers!$A12,DriversGams!$A$5:$A$23,0),MATCH(Drivers!Z$5,DriversGams!$A$5:$AN$5,0))</f>
        <v>17.73</v>
      </c>
      <c r="AA12" s="10">
        <f>INDEX(DriversGams!$A$5:$AN$23,MATCH(Drivers!$A12,DriversGams!$A$5:$A$23,0),MATCH(Drivers!AA$5,DriversGams!$A$5:$AN$5,0))</f>
        <v>18.190000000000001</v>
      </c>
      <c r="AB12" s="10">
        <f>INDEX(DriversGams!$A$5:$AN$23,MATCH(Drivers!$A12,DriversGams!$A$5:$A$23,0),MATCH(Drivers!AB$5,DriversGams!$A$5:$AN$5,0))</f>
        <v>18.670000000000002</v>
      </c>
      <c r="AC12" s="10">
        <f>INDEX(DriversGams!$A$5:$AN$23,MATCH(Drivers!$A12,DriversGams!$A$5:$A$23,0),MATCH(Drivers!AC$5,DriversGams!$A$5:$AN$5,0))</f>
        <v>19.14</v>
      </c>
      <c r="AD12" s="10">
        <f>INDEX(DriversGams!$A$5:$AN$23,MATCH(Drivers!$A12,DriversGams!$A$5:$A$23,0),MATCH(Drivers!AD$5,DriversGams!$A$5:$AN$5,0))</f>
        <v>19.63</v>
      </c>
      <c r="AE12" s="10">
        <f>INDEX(DriversGams!$A$5:$AN$23,MATCH(Drivers!$A12,DriversGams!$A$5:$A$23,0),MATCH(Drivers!AE$5,DriversGams!$A$5:$AN$5,0))</f>
        <v>20.14</v>
      </c>
      <c r="AF12" s="10">
        <f>INDEX(DriversGams!$A$5:$AN$23,MATCH(Drivers!$A12,DriversGams!$A$5:$A$23,0),MATCH(Drivers!AF$5,DriversGams!$A$5:$AN$5,0))</f>
        <v>22.59</v>
      </c>
      <c r="AG12" s="10">
        <f>INDEX(DriversGams!$A$5:$AN$23,MATCH(Drivers!$A12,DriversGams!$A$5:$A$23,0),MATCH(Drivers!AG$5,DriversGams!$A$5:$AN$5,0))</f>
        <v>25.89</v>
      </c>
      <c r="AH12" s="150"/>
      <c r="AI12" s="150"/>
      <c r="AJ12" s="150"/>
      <c r="AK12" s="150"/>
      <c r="AL12" s="150"/>
      <c r="AM12" s="150"/>
      <c r="AO12" s="4">
        <f t="shared" si="3"/>
        <v>6</v>
      </c>
    </row>
    <row r="13" spans="1:41">
      <c r="A13" s="158" t="s">
        <v>388</v>
      </c>
      <c r="B13" s="225">
        <f t="shared" si="2"/>
        <v>7</v>
      </c>
      <c r="C13" s="10">
        <f>INDEX(DriversGams!$A$5:$AN$23,MATCH(Drivers!$A13,DriversGams!$A$5:$A$23,0),MATCH(Drivers!C$5,DriversGams!$A$5:$AN$5,0))</f>
        <v>205.45</v>
      </c>
      <c r="D13" s="10">
        <f>INDEX(DriversGams!$A$5:$AN$23,MATCH(Drivers!$A13,DriversGams!$A$5:$A$23,0),MATCH(Drivers!D$5,DriversGams!$A$5:$AN$5,0))</f>
        <v>210.29</v>
      </c>
      <c r="E13" s="10">
        <f>INDEX(DriversGams!$A$5:$AN$23,MATCH(Drivers!$A13,DriversGams!$A$5:$A$23,0),MATCH(Drivers!E$5,DriversGams!$A$5:$AN$5,0))</f>
        <v>210.09</v>
      </c>
      <c r="F13" s="10">
        <f>INDEX(DriversGams!$A$5:$AN$23,MATCH(Drivers!$A13,DriversGams!$A$5:$A$23,0),MATCH(Drivers!F$5,DriversGams!$A$5:$AN$5,0))</f>
        <v>214.84</v>
      </c>
      <c r="G13" s="10">
        <f>INDEX(DriversGams!$A$5:$AN$23,MATCH(Drivers!$A13,DriversGams!$A$5:$A$23,0),MATCH(Drivers!G$5,DriversGams!$A$5:$AN$5,0))</f>
        <v>210.99</v>
      </c>
      <c r="H13" s="10">
        <f>INDEX(DriversGams!$A$5:$AN$23,MATCH(Drivers!$A13,DriversGams!$A$5:$A$23,0),MATCH(Drivers!H$5,DriversGams!$A$5:$AN$5,0))</f>
        <v>215.85</v>
      </c>
      <c r="I13" s="10">
        <f>INDEX(DriversGams!$A$5:$AN$23,MATCH(Drivers!$A13,DriversGams!$A$5:$A$23,0),MATCH(Drivers!I$5,DriversGams!$A$5:$AN$5,0))</f>
        <v>213.65</v>
      </c>
      <c r="J13" s="10">
        <f>INDEX(DriversGams!$A$5:$AN$23,MATCH(Drivers!$A13,DriversGams!$A$5:$A$23,0),MATCH(Drivers!J$5,DriversGams!$A$5:$AN$5,0))</f>
        <v>210.07</v>
      </c>
      <c r="K13" s="10">
        <f>INDEX(DriversGams!$A$5:$AN$23,MATCH(Drivers!$A13,DriversGams!$A$5:$A$23,0),MATCH(Drivers!K$5,DriversGams!$A$5:$AN$5,0))</f>
        <v>193.07</v>
      </c>
      <c r="L13" s="10">
        <f>INDEX(DriversGams!$A$5:$AN$23,MATCH(Drivers!$A13,DriversGams!$A$5:$A$23,0),MATCH(Drivers!L$5,DriversGams!$A$5:$AN$5,0))</f>
        <v>196.38</v>
      </c>
      <c r="M13" s="10">
        <f>INDEX(DriversGams!$A$5:$AN$23,MATCH(Drivers!$A13,DriversGams!$A$5:$A$23,0),MATCH(Drivers!M$5,DriversGams!$A$5:$AN$5,0))</f>
        <v>199.05</v>
      </c>
      <c r="N13" s="10">
        <f>INDEX(DriversGams!$A$5:$AN$23,MATCH(Drivers!$A13,DriversGams!$A$5:$A$23,0),MATCH(Drivers!N$5,DriversGams!$A$5:$AN$5,0))</f>
        <v>201.54</v>
      </c>
      <c r="O13" s="10">
        <f>INDEX(DriversGams!$A$5:$AN$23,MATCH(Drivers!$A13,DriversGams!$A$5:$A$23,0),MATCH(Drivers!O$5,DriversGams!$A$5:$AN$5,0))</f>
        <v>203.91</v>
      </c>
      <c r="P13" s="10">
        <f>INDEX(DriversGams!$A$5:$AN$23,MATCH(Drivers!$A13,DriversGams!$A$5:$A$23,0),MATCH(Drivers!P$5,DriversGams!$A$5:$AN$5,0))</f>
        <v>207.14</v>
      </c>
      <c r="Q13" s="10">
        <f>INDEX(DriversGams!$A$5:$AN$23,MATCH(Drivers!$A13,DriversGams!$A$5:$A$23,0),MATCH(Drivers!Q$5,DriversGams!$A$5:$AN$5,0))</f>
        <v>212.19</v>
      </c>
      <c r="R13" s="10">
        <f>INDEX(DriversGams!$A$5:$AN$23,MATCH(Drivers!$A13,DriversGams!$A$5:$A$23,0),MATCH(Drivers!R$5,DriversGams!$A$5:$AN$5,0))</f>
        <v>217.65</v>
      </c>
      <c r="S13" s="10">
        <f>INDEX(DriversGams!$A$5:$AN$23,MATCH(Drivers!$A13,DriversGams!$A$5:$A$23,0),MATCH(Drivers!S$5,DriversGams!$A$5:$AN$5,0))</f>
        <v>223.52</v>
      </c>
      <c r="T13" s="10">
        <f>INDEX(DriversGams!$A$5:$AN$23,MATCH(Drivers!$A13,DriversGams!$A$5:$A$23,0),MATCH(Drivers!T$5,DriversGams!$A$5:$AN$5,0))</f>
        <v>228.69</v>
      </c>
      <c r="U13" s="10">
        <f>INDEX(DriversGams!$A$5:$AN$23,MATCH(Drivers!$A13,DriversGams!$A$5:$A$23,0),MATCH(Drivers!U$5,DriversGams!$A$5:$AN$5,0))</f>
        <v>234.66</v>
      </c>
      <c r="V13" s="10">
        <f>INDEX(DriversGams!$A$5:$AN$23,MATCH(Drivers!$A13,DriversGams!$A$5:$A$23,0),MATCH(Drivers!V$5,DriversGams!$A$5:$AN$5,0))</f>
        <v>240.3</v>
      </c>
      <c r="W13" s="10">
        <f>INDEX(DriversGams!$A$5:$AN$23,MATCH(Drivers!$A13,DriversGams!$A$5:$A$23,0),MATCH(Drivers!W$5,DriversGams!$A$5:$AN$5,0))</f>
        <v>245.53</v>
      </c>
      <c r="X13" s="10">
        <f>INDEX(DriversGams!$A$5:$AN$23,MATCH(Drivers!$A13,DriversGams!$A$5:$A$23,0),MATCH(Drivers!X$5,DriversGams!$A$5:$AN$5,0))</f>
        <v>251.1</v>
      </c>
      <c r="Y13" s="10">
        <f>INDEX(DriversGams!$A$5:$AN$23,MATCH(Drivers!$A13,DriversGams!$A$5:$A$23,0),MATCH(Drivers!Y$5,DriversGams!$A$5:$AN$5,0))</f>
        <v>256.91000000000003</v>
      </c>
      <c r="Z13" s="10">
        <f>INDEX(DriversGams!$A$5:$AN$23,MATCH(Drivers!$A13,DriversGams!$A$5:$A$23,0),MATCH(Drivers!Z$5,DriversGams!$A$5:$AN$5,0))</f>
        <v>262.83</v>
      </c>
      <c r="AA13" s="10">
        <f>INDEX(DriversGams!$A$5:$AN$23,MATCH(Drivers!$A13,DriversGams!$A$5:$A$23,0),MATCH(Drivers!AA$5,DriversGams!$A$5:$AN$5,0))</f>
        <v>269.37</v>
      </c>
      <c r="AB13" s="10">
        <f>INDEX(DriversGams!$A$5:$AN$23,MATCH(Drivers!$A13,DriversGams!$A$5:$A$23,0),MATCH(Drivers!AB$5,DriversGams!$A$5:$AN$5,0))</f>
        <v>276.17</v>
      </c>
      <c r="AC13" s="10">
        <f>INDEX(DriversGams!$A$5:$AN$23,MATCH(Drivers!$A13,DriversGams!$A$5:$A$23,0),MATCH(Drivers!AC$5,DriversGams!$A$5:$AN$5,0))</f>
        <v>282.98</v>
      </c>
      <c r="AD13" s="10">
        <f>INDEX(DriversGams!$A$5:$AN$23,MATCH(Drivers!$A13,DriversGams!$A$5:$A$23,0),MATCH(Drivers!AD$5,DriversGams!$A$5:$AN$5,0))</f>
        <v>290.05</v>
      </c>
      <c r="AE13" s="10">
        <f>INDEX(DriversGams!$A$5:$AN$23,MATCH(Drivers!$A13,DriversGams!$A$5:$A$23,0),MATCH(Drivers!AE$5,DriversGams!$A$5:$AN$5,0))</f>
        <v>297.62</v>
      </c>
      <c r="AF13" s="10">
        <f>INDEX(DriversGams!$A$5:$AN$23,MATCH(Drivers!$A13,DriversGams!$A$5:$A$23,0),MATCH(Drivers!AF$5,DriversGams!$A$5:$AN$5,0))</f>
        <v>334.31</v>
      </c>
      <c r="AG13" s="10">
        <f>INDEX(DriversGams!$A$5:$AN$23,MATCH(Drivers!$A13,DriversGams!$A$5:$A$23,0),MATCH(Drivers!AG$5,DriversGams!$A$5:$AN$5,0))</f>
        <v>380</v>
      </c>
      <c r="AH13" s="150"/>
      <c r="AI13" s="150"/>
      <c r="AJ13" s="150"/>
      <c r="AK13" s="150"/>
      <c r="AL13" s="150"/>
      <c r="AM13" s="150"/>
      <c r="AO13" s="4">
        <f t="shared" si="3"/>
        <v>7</v>
      </c>
    </row>
    <row r="14" spans="1:41">
      <c r="A14" s="158" t="s">
        <v>549</v>
      </c>
      <c r="B14" s="225">
        <f t="shared" si="2"/>
        <v>8</v>
      </c>
      <c r="C14" s="10">
        <f>INDEX(DriversGams!$A$5:$AN$23,MATCH(Drivers!$A14,DriversGams!$A$5:$A$23,0),MATCH(Drivers!C$5,DriversGams!$A$5:$AN$5,0))</f>
        <v>10.11</v>
      </c>
      <c r="D14" s="10">
        <f>INDEX(DriversGams!$A$5:$AN$23,MATCH(Drivers!$A14,DriversGams!$A$5:$A$23,0),MATCH(Drivers!D$5,DriversGams!$A$5:$AN$5,0))</f>
        <v>8.43</v>
      </c>
      <c r="E14" s="10">
        <f>INDEX(DriversGams!$A$5:$AN$23,MATCH(Drivers!$A14,DriversGams!$A$5:$A$23,0),MATCH(Drivers!E$5,DriversGams!$A$5:$AN$5,0))</f>
        <v>7.26</v>
      </c>
      <c r="F14" s="10">
        <f>INDEX(DriversGams!$A$5:$AN$23,MATCH(Drivers!$A14,DriversGams!$A$5:$A$23,0),MATCH(Drivers!F$5,DriversGams!$A$5:$AN$5,0))</f>
        <v>6.85</v>
      </c>
      <c r="G14" s="10">
        <f>INDEX(DriversGams!$A$5:$AN$23,MATCH(Drivers!$A14,DriversGams!$A$5:$A$23,0),MATCH(Drivers!G$5,DriversGams!$A$5:$AN$5,0))</f>
        <v>6.43</v>
      </c>
      <c r="H14" s="10">
        <f>INDEX(DriversGams!$A$5:$AN$23,MATCH(Drivers!$A14,DriversGams!$A$5:$A$23,0),MATCH(Drivers!H$5,DriversGams!$A$5:$AN$5,0))</f>
        <v>5.96</v>
      </c>
      <c r="I14" s="10">
        <f>INDEX(DriversGams!$A$5:$AN$23,MATCH(Drivers!$A14,DriversGams!$A$5:$A$23,0),MATCH(Drivers!I$5,DriversGams!$A$5:$AN$5,0))</f>
        <v>5.84</v>
      </c>
      <c r="J14" s="10">
        <f>INDEX(DriversGams!$A$5:$AN$23,MATCH(Drivers!$A14,DriversGams!$A$5:$A$23,0),MATCH(Drivers!J$5,DriversGams!$A$5:$AN$5,0))</f>
        <v>5.52</v>
      </c>
      <c r="K14" s="10">
        <f>INDEX(DriversGams!$A$5:$AN$23,MATCH(Drivers!$A14,DriversGams!$A$5:$A$23,0),MATCH(Drivers!K$5,DriversGams!$A$5:$AN$5,0))</f>
        <v>4.53</v>
      </c>
      <c r="L14" s="10">
        <f>INDEX(DriversGams!$A$5:$AN$23,MATCH(Drivers!$A14,DriversGams!$A$5:$A$23,0),MATCH(Drivers!L$5,DriversGams!$A$5:$AN$5,0))</f>
        <v>4.6900000000000004</v>
      </c>
      <c r="M14" s="10">
        <f>INDEX(DriversGams!$A$5:$AN$23,MATCH(Drivers!$A14,DriversGams!$A$5:$A$23,0),MATCH(Drivers!M$5,DriversGams!$A$5:$AN$5,0))</f>
        <v>4.71</v>
      </c>
      <c r="N14" s="10">
        <f>INDEX(DriversGams!$A$5:$AN$23,MATCH(Drivers!$A14,DriversGams!$A$5:$A$23,0),MATCH(Drivers!N$5,DriversGams!$A$5:$AN$5,0))</f>
        <v>4.74</v>
      </c>
      <c r="O14" s="10">
        <f>INDEX(DriversGams!$A$5:$AN$23,MATCH(Drivers!$A14,DriversGams!$A$5:$A$23,0),MATCH(Drivers!O$5,DriversGams!$A$5:$AN$5,0))</f>
        <v>4.7699999999999996</v>
      </c>
      <c r="P14" s="10">
        <f>INDEX(DriversGams!$A$5:$AN$23,MATCH(Drivers!$A14,DriversGams!$A$5:$A$23,0),MATCH(Drivers!P$5,DriversGams!$A$5:$AN$5,0))</f>
        <v>4.84</v>
      </c>
      <c r="Q14" s="10">
        <f>INDEX(DriversGams!$A$5:$AN$23,MATCH(Drivers!$A14,DriversGams!$A$5:$A$23,0),MATCH(Drivers!Q$5,DriversGams!$A$5:$AN$5,0))</f>
        <v>5.01</v>
      </c>
      <c r="R14" s="10">
        <f>INDEX(DriversGams!$A$5:$AN$23,MATCH(Drivers!$A14,DriversGams!$A$5:$A$23,0),MATCH(Drivers!R$5,DriversGams!$A$5:$AN$5,0))</f>
        <v>5.21</v>
      </c>
      <c r="S14" s="10">
        <f>INDEX(DriversGams!$A$5:$AN$23,MATCH(Drivers!$A14,DriversGams!$A$5:$A$23,0),MATCH(Drivers!S$5,DriversGams!$A$5:$AN$5,0))</f>
        <v>5.45</v>
      </c>
      <c r="T14" s="10">
        <f>INDEX(DriversGams!$A$5:$AN$23,MATCH(Drivers!$A14,DriversGams!$A$5:$A$23,0),MATCH(Drivers!T$5,DriversGams!$A$5:$AN$5,0))</f>
        <v>5.64</v>
      </c>
      <c r="U14" s="10">
        <f>INDEX(DriversGams!$A$5:$AN$23,MATCH(Drivers!$A14,DriversGams!$A$5:$A$23,0),MATCH(Drivers!U$5,DriversGams!$A$5:$AN$5,0))</f>
        <v>5.88</v>
      </c>
      <c r="V14" s="10">
        <f>INDEX(DriversGams!$A$5:$AN$23,MATCH(Drivers!$A14,DriversGams!$A$5:$A$23,0),MATCH(Drivers!V$5,DriversGams!$A$5:$AN$5,0))</f>
        <v>6.08</v>
      </c>
      <c r="W14" s="10">
        <f>INDEX(DriversGams!$A$5:$AN$23,MATCH(Drivers!$A14,DriversGams!$A$5:$A$23,0),MATCH(Drivers!W$5,DriversGams!$A$5:$AN$5,0))</f>
        <v>6.21</v>
      </c>
      <c r="X14" s="10">
        <f>INDEX(DriversGams!$A$5:$AN$23,MATCH(Drivers!$A14,DriversGams!$A$5:$A$23,0),MATCH(Drivers!X$5,DriversGams!$A$5:$AN$5,0))</f>
        <v>6.36</v>
      </c>
      <c r="Y14" s="10">
        <f>INDEX(DriversGams!$A$5:$AN$23,MATCH(Drivers!$A14,DriversGams!$A$5:$A$23,0),MATCH(Drivers!Y$5,DriversGams!$A$5:$AN$5,0))</f>
        <v>6.52</v>
      </c>
      <c r="Z14" s="10">
        <f>INDEX(DriversGams!$A$5:$AN$23,MATCH(Drivers!$A14,DriversGams!$A$5:$A$23,0),MATCH(Drivers!Z$5,DriversGams!$A$5:$AN$5,0))</f>
        <v>6.66</v>
      </c>
      <c r="AA14" s="10">
        <f>INDEX(DriversGams!$A$5:$AN$23,MATCH(Drivers!$A14,DriversGams!$A$5:$A$23,0),MATCH(Drivers!AA$5,DriversGams!$A$5:$AN$5,0))</f>
        <v>6.83</v>
      </c>
      <c r="AB14" s="10">
        <f>INDEX(DriversGams!$A$5:$AN$23,MATCH(Drivers!$A14,DriversGams!$A$5:$A$23,0),MATCH(Drivers!AB$5,DriversGams!$A$5:$AN$5,0))</f>
        <v>7</v>
      </c>
      <c r="AC14" s="10">
        <f>INDEX(DriversGams!$A$5:$AN$23,MATCH(Drivers!$A14,DriversGams!$A$5:$A$23,0),MATCH(Drivers!AC$5,DriversGams!$A$5:$AN$5,0))</f>
        <v>7.17</v>
      </c>
      <c r="AD14" s="10">
        <f>INDEX(DriversGams!$A$5:$AN$23,MATCH(Drivers!$A14,DriversGams!$A$5:$A$23,0),MATCH(Drivers!AD$5,DriversGams!$A$5:$AN$5,0))</f>
        <v>7.34</v>
      </c>
      <c r="AE14" s="10">
        <f>INDEX(DriversGams!$A$5:$AN$23,MATCH(Drivers!$A14,DriversGams!$A$5:$A$23,0),MATCH(Drivers!AE$5,DriversGams!$A$5:$AN$5,0))</f>
        <v>7.52</v>
      </c>
      <c r="AF14" s="10">
        <f>INDEX(DriversGams!$A$5:$AN$23,MATCH(Drivers!$A14,DriversGams!$A$5:$A$23,0),MATCH(Drivers!AF$5,DriversGams!$A$5:$AN$5,0))</f>
        <v>8.08</v>
      </c>
      <c r="AG14" s="10">
        <f>INDEX(DriversGams!$A$5:$AN$23,MATCH(Drivers!$A14,DriversGams!$A$5:$A$23,0),MATCH(Drivers!AG$5,DriversGams!$A$5:$AN$5,0))</f>
        <v>8.82</v>
      </c>
      <c r="AH14" s="150"/>
      <c r="AI14" s="150"/>
      <c r="AJ14" s="150"/>
      <c r="AK14" s="150"/>
      <c r="AL14" s="150"/>
      <c r="AM14" s="150"/>
      <c r="AO14" s="4">
        <f t="shared" si="3"/>
        <v>8</v>
      </c>
    </row>
    <row r="15" spans="1:41">
      <c r="A15" s="158" t="s">
        <v>548</v>
      </c>
      <c r="B15" s="225">
        <f t="shared" si="2"/>
        <v>9</v>
      </c>
      <c r="C15" s="10">
        <f>INDEX(DriversGams!$A$5:$AN$23,MATCH(Drivers!$A15,DriversGams!$A$5:$A$23,0),MATCH(Drivers!C$5,DriversGams!$A$5:$AN$5,0))</f>
        <v>14.11</v>
      </c>
      <c r="D15" s="10">
        <f>INDEX(DriversGams!$A$5:$AN$23,MATCH(Drivers!$A15,DriversGams!$A$5:$A$23,0),MATCH(Drivers!D$5,DriversGams!$A$5:$AN$5,0))</f>
        <v>14.52</v>
      </c>
      <c r="E15" s="10">
        <f>INDEX(DriversGams!$A$5:$AN$23,MATCH(Drivers!$A15,DriversGams!$A$5:$A$23,0),MATCH(Drivers!E$5,DriversGams!$A$5:$AN$5,0))</f>
        <v>14.79</v>
      </c>
      <c r="F15" s="10">
        <f>INDEX(DriversGams!$A$5:$AN$23,MATCH(Drivers!$A15,DriversGams!$A$5:$A$23,0),MATCH(Drivers!F$5,DriversGams!$A$5:$AN$5,0))</f>
        <v>15.03</v>
      </c>
      <c r="G15" s="10">
        <f>INDEX(DriversGams!$A$5:$AN$23,MATCH(Drivers!$A15,DriversGams!$A$5:$A$23,0),MATCH(Drivers!G$5,DriversGams!$A$5:$AN$5,0))</f>
        <v>15.21</v>
      </c>
      <c r="H15" s="10">
        <f>INDEX(DriversGams!$A$5:$AN$23,MATCH(Drivers!$A15,DriversGams!$A$5:$A$23,0),MATCH(Drivers!H$5,DriversGams!$A$5:$AN$5,0))</f>
        <v>15.35</v>
      </c>
      <c r="I15" s="10">
        <f>INDEX(DriversGams!$A$5:$AN$23,MATCH(Drivers!$A15,DriversGams!$A$5:$A$23,0),MATCH(Drivers!I$5,DriversGams!$A$5:$AN$5,0))</f>
        <v>15.51</v>
      </c>
      <c r="J15" s="10">
        <f>INDEX(DriversGams!$A$5:$AN$23,MATCH(Drivers!$A15,DriversGams!$A$5:$A$23,0),MATCH(Drivers!J$5,DriversGams!$A$5:$AN$5,0))</f>
        <v>15.54</v>
      </c>
      <c r="K15" s="10">
        <f>INDEX(DriversGams!$A$5:$AN$23,MATCH(Drivers!$A15,DriversGams!$A$5:$A$23,0),MATCH(Drivers!K$5,DriversGams!$A$5:$AN$5,0))</f>
        <v>14.21</v>
      </c>
      <c r="L15" s="10">
        <f>INDEX(DriversGams!$A$5:$AN$23,MATCH(Drivers!$A15,DriversGams!$A$5:$A$23,0),MATCH(Drivers!L$5,DriversGams!$A$5:$AN$5,0))</f>
        <v>14.6</v>
      </c>
      <c r="M15" s="10">
        <f>INDEX(DriversGams!$A$5:$AN$23,MATCH(Drivers!$A15,DriversGams!$A$5:$A$23,0),MATCH(Drivers!M$5,DriversGams!$A$5:$AN$5,0))</f>
        <v>14.95</v>
      </c>
      <c r="N15" s="10">
        <f>INDEX(DriversGams!$A$5:$AN$23,MATCH(Drivers!$A15,DriversGams!$A$5:$A$23,0),MATCH(Drivers!N$5,DriversGams!$A$5:$AN$5,0))</f>
        <v>15.3</v>
      </c>
      <c r="O15" s="10">
        <f>INDEX(DriversGams!$A$5:$AN$23,MATCH(Drivers!$A15,DriversGams!$A$5:$A$23,0),MATCH(Drivers!O$5,DriversGams!$A$5:$AN$5,0))</f>
        <v>15.64</v>
      </c>
      <c r="P15" s="10">
        <f>INDEX(DriversGams!$A$5:$AN$23,MATCH(Drivers!$A15,DriversGams!$A$5:$A$23,0),MATCH(Drivers!P$5,DriversGams!$A$5:$AN$5,0))</f>
        <v>16</v>
      </c>
      <c r="Q15" s="10">
        <f>INDEX(DriversGams!$A$5:$AN$23,MATCH(Drivers!$A15,DriversGams!$A$5:$A$23,0),MATCH(Drivers!Q$5,DriversGams!$A$5:$AN$5,0))</f>
        <v>16.440000000000001</v>
      </c>
      <c r="R15" s="10">
        <f>INDEX(DriversGams!$A$5:$AN$23,MATCH(Drivers!$A15,DriversGams!$A$5:$A$23,0),MATCH(Drivers!R$5,DriversGams!$A$5:$AN$5,0))</f>
        <v>16.88</v>
      </c>
      <c r="S15" s="10">
        <f>INDEX(DriversGams!$A$5:$AN$23,MATCH(Drivers!$A15,DriversGams!$A$5:$A$23,0),MATCH(Drivers!S$5,DriversGams!$A$5:$AN$5,0))</f>
        <v>17.34</v>
      </c>
      <c r="T15" s="10">
        <f>INDEX(DriversGams!$A$5:$AN$23,MATCH(Drivers!$A15,DriversGams!$A$5:$A$23,0),MATCH(Drivers!T$5,DriversGams!$A$5:$AN$5,0))</f>
        <v>17.8</v>
      </c>
      <c r="U15" s="10">
        <f>INDEX(DriversGams!$A$5:$AN$23,MATCH(Drivers!$A15,DriversGams!$A$5:$A$23,0),MATCH(Drivers!U$5,DriversGams!$A$5:$AN$5,0))</f>
        <v>18.27</v>
      </c>
      <c r="V15" s="10">
        <f>INDEX(DriversGams!$A$5:$AN$23,MATCH(Drivers!$A15,DriversGams!$A$5:$A$23,0),MATCH(Drivers!V$5,DriversGams!$A$5:$AN$5,0))</f>
        <v>18.809999999999999</v>
      </c>
      <c r="W15" s="10">
        <f>INDEX(DriversGams!$A$5:$AN$23,MATCH(Drivers!$A15,DriversGams!$A$5:$A$23,0),MATCH(Drivers!W$5,DriversGams!$A$5:$AN$5,0))</f>
        <v>19.32</v>
      </c>
      <c r="X15" s="10">
        <f>INDEX(DriversGams!$A$5:$AN$23,MATCH(Drivers!$A15,DriversGams!$A$5:$A$23,0),MATCH(Drivers!X$5,DriversGams!$A$5:$AN$5,0))</f>
        <v>19.88</v>
      </c>
      <c r="Y15" s="10">
        <f>INDEX(DriversGams!$A$5:$AN$23,MATCH(Drivers!$A15,DriversGams!$A$5:$A$23,0),MATCH(Drivers!Y$5,DriversGams!$A$5:$AN$5,0))</f>
        <v>20.49</v>
      </c>
      <c r="Z15" s="10">
        <f>INDEX(DriversGams!$A$5:$AN$23,MATCH(Drivers!$A15,DriversGams!$A$5:$A$23,0),MATCH(Drivers!Z$5,DriversGams!$A$5:$AN$5,0))</f>
        <v>21.14</v>
      </c>
      <c r="AA15" s="10">
        <f>INDEX(DriversGams!$A$5:$AN$23,MATCH(Drivers!$A15,DriversGams!$A$5:$A$23,0),MATCH(Drivers!AA$5,DriversGams!$A$5:$AN$5,0))</f>
        <v>21.81</v>
      </c>
      <c r="AB15" s="10">
        <f>INDEX(DriversGams!$A$5:$AN$23,MATCH(Drivers!$A15,DriversGams!$A$5:$A$23,0),MATCH(Drivers!AB$5,DriversGams!$A$5:$AN$5,0))</f>
        <v>22.5</v>
      </c>
      <c r="AC15" s="10">
        <f>INDEX(DriversGams!$A$5:$AN$23,MATCH(Drivers!$A15,DriversGams!$A$5:$A$23,0),MATCH(Drivers!AC$5,DriversGams!$A$5:$AN$5,0))</f>
        <v>23.19</v>
      </c>
      <c r="AD15" s="10">
        <f>INDEX(DriversGams!$A$5:$AN$23,MATCH(Drivers!$A15,DriversGams!$A$5:$A$23,0),MATCH(Drivers!AD$5,DriversGams!$A$5:$AN$5,0))</f>
        <v>23.92</v>
      </c>
      <c r="AE15" s="10">
        <f>INDEX(DriversGams!$A$5:$AN$23,MATCH(Drivers!$A15,DriversGams!$A$5:$A$23,0),MATCH(Drivers!AE$5,DriversGams!$A$5:$AN$5,0))</f>
        <v>24.68</v>
      </c>
      <c r="AF15" s="10">
        <f>INDEX(DriversGams!$A$5:$AN$23,MATCH(Drivers!$A15,DriversGams!$A$5:$A$23,0),MATCH(Drivers!AF$5,DriversGams!$A$5:$AN$5,0))</f>
        <v>28.99</v>
      </c>
      <c r="AG15" s="10">
        <f>INDEX(DriversGams!$A$5:$AN$23,MATCH(Drivers!$A15,DriversGams!$A$5:$A$23,0),MATCH(Drivers!AG$5,DriversGams!$A$5:$AN$5,0))</f>
        <v>34.44</v>
      </c>
      <c r="AH15" s="150"/>
      <c r="AI15" s="150"/>
      <c r="AJ15" s="150"/>
      <c r="AK15" s="150"/>
      <c r="AL15" s="150"/>
      <c r="AM15" s="150"/>
      <c r="AO15" s="4">
        <f t="shared" si="3"/>
        <v>9</v>
      </c>
    </row>
    <row r="16" spans="1:41">
      <c r="A16" s="158" t="s">
        <v>545</v>
      </c>
      <c r="B16" s="225">
        <f t="shared" si="2"/>
        <v>10</v>
      </c>
      <c r="C16" s="10">
        <f>INDEX(DriversGams!$A$5:$AN$23,MATCH(Drivers!$A16,DriversGams!$A$5:$A$23,0),MATCH(Drivers!C$5,DriversGams!$A$5:$AN$5,0))</f>
        <v>235.5</v>
      </c>
      <c r="D16" s="10">
        <f>INDEX(DriversGams!$A$5:$AN$23,MATCH(Drivers!$A16,DriversGams!$A$5:$A$23,0),MATCH(Drivers!D$5,DriversGams!$A$5:$AN$5,0))</f>
        <v>241.63</v>
      </c>
      <c r="E16" s="10">
        <f>INDEX(DriversGams!$A$5:$AN$23,MATCH(Drivers!$A16,DriversGams!$A$5:$A$23,0),MATCH(Drivers!E$5,DriversGams!$A$5:$AN$5,0))</f>
        <v>245.65</v>
      </c>
      <c r="F16" s="10">
        <f>INDEX(DriversGams!$A$5:$AN$23,MATCH(Drivers!$A16,DriversGams!$A$5:$A$23,0),MATCH(Drivers!F$5,DriversGams!$A$5:$AN$5,0))</f>
        <v>248.47</v>
      </c>
      <c r="G16" s="10">
        <f>INDEX(DriversGams!$A$5:$AN$23,MATCH(Drivers!$A16,DriversGams!$A$5:$A$23,0),MATCH(Drivers!G$5,DriversGams!$A$5:$AN$5,0))</f>
        <v>251.07</v>
      </c>
      <c r="H16" s="10">
        <f>INDEX(DriversGams!$A$5:$AN$23,MATCH(Drivers!$A16,DriversGams!$A$5:$A$23,0),MATCH(Drivers!H$5,DriversGams!$A$5:$AN$5,0))</f>
        <v>252.54</v>
      </c>
      <c r="I16" s="10">
        <f>INDEX(DriversGams!$A$5:$AN$23,MATCH(Drivers!$A16,DriversGams!$A$5:$A$23,0),MATCH(Drivers!I$5,DriversGams!$A$5:$AN$5,0))</f>
        <v>254.74</v>
      </c>
      <c r="J16" s="10">
        <f>INDEX(DriversGams!$A$5:$AN$23,MATCH(Drivers!$A16,DriversGams!$A$5:$A$23,0),MATCH(Drivers!J$5,DriversGams!$A$5:$AN$5,0))</f>
        <v>254.67</v>
      </c>
      <c r="K16" s="10">
        <f>INDEX(DriversGams!$A$5:$AN$23,MATCH(Drivers!$A16,DriversGams!$A$5:$A$23,0),MATCH(Drivers!K$5,DriversGams!$A$5:$AN$5,0))</f>
        <v>230.24</v>
      </c>
      <c r="L16" s="10">
        <f>INDEX(DriversGams!$A$5:$AN$23,MATCH(Drivers!$A16,DriversGams!$A$5:$A$23,0),MATCH(Drivers!L$5,DriversGams!$A$5:$AN$5,0))</f>
        <v>236.69</v>
      </c>
      <c r="M16" s="10">
        <f>INDEX(DriversGams!$A$5:$AN$23,MATCH(Drivers!$A16,DriversGams!$A$5:$A$23,0),MATCH(Drivers!M$5,DriversGams!$A$5:$AN$5,0))</f>
        <v>242.59</v>
      </c>
      <c r="N16" s="10">
        <f>INDEX(DriversGams!$A$5:$AN$23,MATCH(Drivers!$A16,DriversGams!$A$5:$A$23,0),MATCH(Drivers!N$5,DriversGams!$A$5:$AN$5,0))</f>
        <v>248.33</v>
      </c>
      <c r="O16" s="10">
        <f>INDEX(DriversGams!$A$5:$AN$23,MATCH(Drivers!$A16,DriversGams!$A$5:$A$23,0),MATCH(Drivers!O$5,DriversGams!$A$5:$AN$5,0))</f>
        <v>253.83</v>
      </c>
      <c r="P16" s="10">
        <f>INDEX(DriversGams!$A$5:$AN$23,MATCH(Drivers!$A16,DriversGams!$A$5:$A$23,0),MATCH(Drivers!P$5,DriversGams!$A$5:$AN$5,0))</f>
        <v>259.61</v>
      </c>
      <c r="Q16" s="10">
        <f>INDEX(DriversGams!$A$5:$AN$23,MATCH(Drivers!$A16,DriversGams!$A$5:$A$23,0),MATCH(Drivers!Q$5,DriversGams!$A$5:$AN$5,0))</f>
        <v>266.92</v>
      </c>
      <c r="R16" s="10">
        <f>INDEX(DriversGams!$A$5:$AN$23,MATCH(Drivers!$A16,DriversGams!$A$5:$A$23,0),MATCH(Drivers!R$5,DriversGams!$A$5:$AN$5,0))</f>
        <v>274.13</v>
      </c>
      <c r="S16" s="10">
        <f>INDEX(DriversGams!$A$5:$AN$23,MATCH(Drivers!$A16,DriversGams!$A$5:$A$23,0),MATCH(Drivers!S$5,DriversGams!$A$5:$AN$5,0))</f>
        <v>281.63</v>
      </c>
      <c r="T16" s="10">
        <f>INDEX(DriversGams!$A$5:$AN$23,MATCH(Drivers!$A16,DriversGams!$A$5:$A$23,0),MATCH(Drivers!T$5,DriversGams!$A$5:$AN$5,0))</f>
        <v>289.23</v>
      </c>
      <c r="U16" s="10">
        <f>INDEX(DriversGams!$A$5:$AN$23,MATCH(Drivers!$A16,DriversGams!$A$5:$A$23,0),MATCH(Drivers!U$5,DriversGams!$A$5:$AN$5,0))</f>
        <v>297.02</v>
      </c>
      <c r="V16" s="10">
        <f>INDEX(DriversGams!$A$5:$AN$23,MATCH(Drivers!$A16,DriversGams!$A$5:$A$23,0),MATCH(Drivers!V$5,DriversGams!$A$5:$AN$5,0))</f>
        <v>305.64</v>
      </c>
      <c r="W16" s="10">
        <f>INDEX(DriversGams!$A$5:$AN$23,MATCH(Drivers!$A16,DriversGams!$A$5:$A$23,0),MATCH(Drivers!W$5,DriversGams!$A$5:$AN$5,0))</f>
        <v>313.91000000000003</v>
      </c>
      <c r="X16" s="10">
        <f>INDEX(DriversGams!$A$5:$AN$23,MATCH(Drivers!$A16,DriversGams!$A$5:$A$23,0),MATCH(Drivers!X$5,DriversGams!$A$5:$AN$5,0))</f>
        <v>323.06</v>
      </c>
      <c r="Y16" s="10">
        <f>INDEX(DriversGams!$A$5:$AN$23,MATCH(Drivers!$A16,DriversGams!$A$5:$A$23,0),MATCH(Drivers!Y$5,DriversGams!$A$5:$AN$5,0))</f>
        <v>332.87</v>
      </c>
      <c r="Z16" s="10">
        <f>INDEX(DriversGams!$A$5:$AN$23,MATCH(Drivers!$A16,DriversGams!$A$5:$A$23,0),MATCH(Drivers!Z$5,DriversGams!$A$5:$AN$5,0))</f>
        <v>343.27</v>
      </c>
      <c r="AA16" s="10">
        <f>INDEX(DriversGams!$A$5:$AN$23,MATCH(Drivers!$A16,DriversGams!$A$5:$A$23,0),MATCH(Drivers!AA$5,DriversGams!$A$5:$AN$5,0))</f>
        <v>354.09</v>
      </c>
      <c r="AB16" s="10">
        <f>INDEX(DriversGams!$A$5:$AN$23,MATCH(Drivers!$A16,DriversGams!$A$5:$A$23,0),MATCH(Drivers!AB$5,DriversGams!$A$5:$AN$5,0))</f>
        <v>365.3</v>
      </c>
      <c r="AC16" s="10">
        <f>INDEX(DriversGams!$A$5:$AN$23,MATCH(Drivers!$A16,DriversGams!$A$5:$A$23,0),MATCH(Drivers!AC$5,DriversGams!$A$5:$AN$5,0))</f>
        <v>376.62</v>
      </c>
      <c r="AD16" s="10">
        <f>INDEX(DriversGams!$A$5:$AN$23,MATCH(Drivers!$A16,DriversGams!$A$5:$A$23,0),MATCH(Drivers!AD$5,DriversGams!$A$5:$AN$5,0))</f>
        <v>388.36</v>
      </c>
      <c r="AE16" s="10">
        <f>INDEX(DriversGams!$A$5:$AN$23,MATCH(Drivers!$A16,DriversGams!$A$5:$A$23,0),MATCH(Drivers!AE$5,DriversGams!$A$5:$AN$5,0))</f>
        <v>400.79</v>
      </c>
      <c r="AF16" s="10">
        <f>INDEX(DriversGams!$A$5:$AN$23,MATCH(Drivers!$A16,DriversGams!$A$5:$A$23,0),MATCH(Drivers!AF$5,DriversGams!$A$5:$AN$5,0))</f>
        <v>469.74</v>
      </c>
      <c r="AG16" s="10">
        <f>INDEX(DriversGams!$A$5:$AN$23,MATCH(Drivers!$A16,DriversGams!$A$5:$A$23,0),MATCH(Drivers!AG$5,DriversGams!$A$5:$AN$5,0))</f>
        <v>556.72</v>
      </c>
      <c r="AH16" s="150"/>
      <c r="AI16" s="150"/>
      <c r="AJ16" s="150"/>
      <c r="AK16" s="150"/>
      <c r="AL16" s="150"/>
      <c r="AM16" s="150"/>
      <c r="AO16" s="4">
        <f t="shared" si="3"/>
        <v>10</v>
      </c>
    </row>
    <row r="17" spans="1:41">
      <c r="A17" s="158" t="s">
        <v>551</v>
      </c>
      <c r="B17" s="225">
        <f t="shared" si="2"/>
        <v>11</v>
      </c>
      <c r="C17" s="10">
        <f>INDEX(DriversGams!$A$5:$AN$23,MATCH(Drivers!$A17,DriversGams!$A$5:$A$23,0),MATCH(Drivers!C$5,DriversGams!$A$5:$AN$5,0))</f>
        <v>27.52</v>
      </c>
      <c r="D17" s="10">
        <f>INDEX(DriversGams!$A$5:$AN$23,MATCH(Drivers!$A17,DriversGams!$A$5:$A$23,0),MATCH(Drivers!D$5,DriversGams!$A$5:$AN$5,0))</f>
        <v>27.49</v>
      </c>
      <c r="E17" s="10">
        <f>INDEX(DriversGams!$A$5:$AN$23,MATCH(Drivers!$A17,DriversGams!$A$5:$A$23,0),MATCH(Drivers!E$5,DriversGams!$A$5:$AN$5,0))</f>
        <v>27.45</v>
      </c>
      <c r="F17" s="10">
        <f>INDEX(DriversGams!$A$5:$AN$23,MATCH(Drivers!$A17,DriversGams!$A$5:$A$23,0),MATCH(Drivers!F$5,DriversGams!$A$5:$AN$5,0))</f>
        <v>27.42</v>
      </c>
      <c r="G17" s="10">
        <f>INDEX(DriversGams!$A$5:$AN$23,MATCH(Drivers!$A17,DriversGams!$A$5:$A$23,0),MATCH(Drivers!G$5,DriversGams!$A$5:$AN$5,0))</f>
        <v>27.39</v>
      </c>
      <c r="H17" s="10">
        <f>INDEX(DriversGams!$A$5:$AN$23,MATCH(Drivers!$A17,DriversGams!$A$5:$A$23,0),MATCH(Drivers!H$5,DriversGams!$A$5:$AN$5,0))</f>
        <v>27.36</v>
      </c>
      <c r="I17" s="10">
        <f>INDEX(DriversGams!$A$5:$AN$23,MATCH(Drivers!$A17,DriversGams!$A$5:$A$23,0),MATCH(Drivers!I$5,DriversGams!$A$5:$AN$5,0))</f>
        <v>27.33</v>
      </c>
      <c r="J17" s="10">
        <f>INDEX(DriversGams!$A$5:$AN$23,MATCH(Drivers!$A17,DriversGams!$A$5:$A$23,0),MATCH(Drivers!J$5,DriversGams!$A$5:$AN$5,0))</f>
        <v>27.24</v>
      </c>
      <c r="K17" s="10">
        <f>INDEX(DriversGams!$A$5:$AN$23,MATCH(Drivers!$A17,DriversGams!$A$5:$A$23,0),MATCH(Drivers!K$5,DriversGams!$A$5:$AN$5,0))</f>
        <v>27.16</v>
      </c>
      <c r="L17" s="10">
        <f>INDEX(DriversGams!$A$5:$AN$23,MATCH(Drivers!$A17,DriversGams!$A$5:$A$23,0),MATCH(Drivers!L$5,DriversGams!$A$5:$AN$5,0))</f>
        <v>26.07</v>
      </c>
      <c r="M17" s="10">
        <f>INDEX(DriversGams!$A$5:$AN$23,MATCH(Drivers!$A17,DriversGams!$A$5:$A$23,0),MATCH(Drivers!M$5,DriversGams!$A$5:$AN$5,0))</f>
        <v>25.79</v>
      </c>
      <c r="N17" s="10">
        <f>INDEX(DriversGams!$A$5:$AN$23,MATCH(Drivers!$A17,DriversGams!$A$5:$A$23,0),MATCH(Drivers!N$5,DriversGams!$A$5:$AN$5,0))</f>
        <v>25.7</v>
      </c>
      <c r="O17" s="10">
        <f>INDEX(DriversGams!$A$5:$AN$23,MATCH(Drivers!$A17,DriversGams!$A$5:$A$23,0),MATCH(Drivers!O$5,DriversGams!$A$5:$AN$5,0))</f>
        <v>25.62</v>
      </c>
      <c r="P17" s="10">
        <f>INDEX(DriversGams!$A$5:$AN$23,MATCH(Drivers!$A17,DriversGams!$A$5:$A$23,0),MATCH(Drivers!P$5,DriversGams!$A$5:$AN$5,0))</f>
        <v>24.83</v>
      </c>
      <c r="Q17" s="10">
        <f>INDEX(DriversGams!$A$5:$AN$23,MATCH(Drivers!$A17,DriversGams!$A$5:$A$23,0),MATCH(Drivers!Q$5,DriversGams!$A$5:$AN$5,0))</f>
        <v>22.54</v>
      </c>
      <c r="R17" s="10">
        <f>INDEX(DriversGams!$A$5:$AN$23,MATCH(Drivers!$A17,DriversGams!$A$5:$A$23,0),MATCH(Drivers!R$5,DriversGams!$A$5:$AN$5,0))</f>
        <v>20.239999999999998</v>
      </c>
      <c r="S17" s="10">
        <f>INDEX(DriversGams!$A$5:$AN$23,MATCH(Drivers!$A17,DriversGams!$A$5:$A$23,0),MATCH(Drivers!S$5,DriversGams!$A$5:$AN$5,0))</f>
        <v>17.95</v>
      </c>
      <c r="T17" s="10">
        <f>INDEX(DriversGams!$A$5:$AN$23,MATCH(Drivers!$A17,DriversGams!$A$5:$A$23,0),MATCH(Drivers!T$5,DriversGams!$A$5:$AN$5,0))</f>
        <v>15.66</v>
      </c>
      <c r="U17" s="10">
        <f>INDEX(DriversGams!$A$5:$AN$23,MATCH(Drivers!$A17,DriversGams!$A$5:$A$23,0),MATCH(Drivers!U$5,DriversGams!$A$5:$AN$5,0))</f>
        <v>13.37</v>
      </c>
      <c r="V17" s="10">
        <f>INDEX(DriversGams!$A$5:$AN$23,MATCH(Drivers!$A17,DriversGams!$A$5:$A$23,0),MATCH(Drivers!V$5,DriversGams!$A$5:$AN$5,0))</f>
        <v>12.37</v>
      </c>
      <c r="W17" s="10">
        <f>INDEX(DriversGams!$A$5:$AN$23,MATCH(Drivers!$A17,DriversGams!$A$5:$A$23,0),MATCH(Drivers!W$5,DriversGams!$A$5:$AN$5,0))</f>
        <v>11.37</v>
      </c>
      <c r="X17" s="10">
        <f>INDEX(DriversGams!$A$5:$AN$23,MATCH(Drivers!$A17,DriversGams!$A$5:$A$23,0),MATCH(Drivers!X$5,DriversGams!$A$5:$AN$5,0))</f>
        <v>10.37</v>
      </c>
      <c r="Y17" s="10">
        <f>INDEX(DriversGams!$A$5:$AN$23,MATCH(Drivers!$A17,DriversGams!$A$5:$A$23,0),MATCH(Drivers!Y$5,DriversGams!$A$5:$AN$5,0))</f>
        <v>9.3699999999999992</v>
      </c>
      <c r="Z17" s="10">
        <f>INDEX(DriversGams!$A$5:$AN$23,MATCH(Drivers!$A17,DriversGams!$A$5:$A$23,0),MATCH(Drivers!Z$5,DriversGams!$A$5:$AN$5,0))</f>
        <v>8.41</v>
      </c>
      <c r="AA17" s="10">
        <f>INDEX(DriversGams!$A$5:$AN$23,MATCH(Drivers!$A17,DriversGams!$A$5:$A$23,0),MATCH(Drivers!AA$5,DriversGams!$A$5:$AN$5,0))</f>
        <v>7.24</v>
      </c>
      <c r="AB17" s="10">
        <f>INDEX(DriversGams!$A$5:$AN$23,MATCH(Drivers!$A17,DriversGams!$A$5:$A$23,0),MATCH(Drivers!AB$5,DriversGams!$A$5:$AN$5,0))</f>
        <v>6.06</v>
      </c>
      <c r="AC17" s="10">
        <f>INDEX(DriversGams!$A$5:$AN$23,MATCH(Drivers!$A17,DriversGams!$A$5:$A$23,0),MATCH(Drivers!AC$5,DriversGams!$A$5:$AN$5,0))</f>
        <v>4.88</v>
      </c>
      <c r="AD17" s="10">
        <f>INDEX(DriversGams!$A$5:$AN$23,MATCH(Drivers!$A17,DriversGams!$A$5:$A$23,0),MATCH(Drivers!AD$5,DriversGams!$A$5:$AN$5,0))</f>
        <v>3.7</v>
      </c>
      <c r="AE17" s="10">
        <f>INDEX(DriversGams!$A$5:$AN$23,MATCH(Drivers!$A17,DriversGams!$A$5:$A$23,0),MATCH(Drivers!AE$5,DriversGams!$A$5:$AN$5,0))</f>
        <v>2.52</v>
      </c>
      <c r="AF17" s="10">
        <f>INDEX(DriversGams!$A$5:$AN$23,MATCH(Drivers!$A17,DriversGams!$A$5:$A$23,0),MATCH(Drivers!AF$5,DriversGams!$A$5:$AN$5,0))</f>
        <v>2.52</v>
      </c>
      <c r="AG17" s="10">
        <f>INDEX(DriversGams!$A$5:$AN$23,MATCH(Drivers!$A17,DriversGams!$A$5:$A$23,0),MATCH(Drivers!AG$5,DriversGams!$A$5:$AN$5,0))</f>
        <v>2.52</v>
      </c>
      <c r="AH17" s="150"/>
      <c r="AI17" s="150"/>
      <c r="AJ17" s="150"/>
      <c r="AK17" s="150"/>
      <c r="AL17" s="150"/>
      <c r="AM17" s="150"/>
      <c r="AO17" s="4">
        <f t="shared" si="3"/>
        <v>11</v>
      </c>
    </row>
    <row r="18" spans="1:41" s="225" customFormat="1">
      <c r="A18" s="158" t="s">
        <v>546</v>
      </c>
      <c r="B18" s="225">
        <f t="shared" si="2"/>
        <v>12</v>
      </c>
      <c r="C18" s="10">
        <f>INDEX(DriversGams!$A$5:$AN$23,MATCH(Drivers!$A18,DriversGams!$A$5:$A$23,0),MATCH(Drivers!C$5,DriversGams!$A$5:$AN$5,0))</f>
        <v>17.78</v>
      </c>
      <c r="D18" s="10">
        <f>INDEX(DriversGams!$A$5:$AN$23,MATCH(Drivers!$A18,DriversGams!$A$5:$A$23,0),MATCH(Drivers!D$5,DriversGams!$A$5:$AN$5,0))</f>
        <v>18.190000000000001</v>
      </c>
      <c r="E18" s="10">
        <f>INDEX(DriversGams!$A$5:$AN$23,MATCH(Drivers!$A18,DriversGams!$A$5:$A$23,0),MATCH(Drivers!E$5,DriversGams!$A$5:$AN$5,0))</f>
        <v>18.54</v>
      </c>
      <c r="F18" s="10">
        <f>INDEX(DriversGams!$A$5:$AN$23,MATCH(Drivers!$A18,DriversGams!$A$5:$A$23,0),MATCH(Drivers!F$5,DriversGams!$A$5:$AN$5,0))</f>
        <v>18.73</v>
      </c>
      <c r="G18" s="10">
        <f>INDEX(DriversGams!$A$5:$AN$23,MATCH(Drivers!$A18,DriversGams!$A$5:$A$23,0),MATCH(Drivers!G$5,DriversGams!$A$5:$AN$5,0))</f>
        <v>19.13</v>
      </c>
      <c r="H18" s="10">
        <f>INDEX(DriversGams!$A$5:$AN$23,MATCH(Drivers!$A18,DriversGams!$A$5:$A$23,0),MATCH(Drivers!H$5,DriversGams!$A$5:$AN$5,0))</f>
        <v>19.23</v>
      </c>
      <c r="I18" s="10">
        <f>INDEX(DriversGams!$A$5:$AN$23,MATCH(Drivers!$A18,DriversGams!$A$5:$A$23,0),MATCH(Drivers!I$5,DriversGams!$A$5:$AN$5,0))</f>
        <v>19.5</v>
      </c>
      <c r="J18" s="10">
        <f>INDEX(DriversGams!$A$5:$AN$23,MATCH(Drivers!$A18,DriversGams!$A$5:$A$23,0),MATCH(Drivers!J$5,DriversGams!$A$5:$AN$5,0))</f>
        <v>19.52</v>
      </c>
      <c r="K18" s="10">
        <f>INDEX(DriversGams!$A$5:$AN$23,MATCH(Drivers!$A18,DriversGams!$A$5:$A$23,0),MATCH(Drivers!K$5,DriversGams!$A$5:$AN$5,0))</f>
        <v>18.16</v>
      </c>
      <c r="L18" s="10">
        <f>INDEX(DriversGams!$A$5:$AN$23,MATCH(Drivers!$A18,DriversGams!$A$5:$A$23,0),MATCH(Drivers!L$5,DriversGams!$A$5:$AN$5,0))</f>
        <v>18.68</v>
      </c>
      <c r="M18" s="10">
        <f>INDEX(DriversGams!$A$5:$AN$23,MATCH(Drivers!$A18,DriversGams!$A$5:$A$23,0),MATCH(Drivers!M$5,DriversGams!$A$5:$AN$5,0))</f>
        <v>19.149999999999999</v>
      </c>
      <c r="N18" s="10">
        <f>INDEX(DriversGams!$A$5:$AN$23,MATCH(Drivers!$A18,DriversGams!$A$5:$A$23,0),MATCH(Drivers!N$5,DriversGams!$A$5:$AN$5,0))</f>
        <v>19.61</v>
      </c>
      <c r="O18" s="10">
        <f>INDEX(DriversGams!$A$5:$AN$23,MATCH(Drivers!$A18,DriversGams!$A$5:$A$23,0),MATCH(Drivers!O$5,DriversGams!$A$5:$AN$5,0))</f>
        <v>20.04</v>
      </c>
      <c r="P18" s="10">
        <f>INDEX(DriversGams!$A$5:$AN$23,MATCH(Drivers!$A18,DriversGams!$A$5:$A$23,0),MATCH(Drivers!P$5,DriversGams!$A$5:$AN$5,0))</f>
        <v>20.51</v>
      </c>
      <c r="Q18" s="10">
        <f>INDEX(DriversGams!$A$5:$AN$23,MATCH(Drivers!$A18,DriversGams!$A$5:$A$23,0),MATCH(Drivers!Q$5,DriversGams!$A$5:$AN$5,0))</f>
        <v>21.11</v>
      </c>
      <c r="R18" s="10">
        <f>INDEX(DriversGams!$A$5:$AN$23,MATCH(Drivers!$A18,DriversGams!$A$5:$A$23,0),MATCH(Drivers!R$5,DriversGams!$A$5:$AN$5,0))</f>
        <v>21.69</v>
      </c>
      <c r="S18" s="10">
        <f>INDEX(DriversGams!$A$5:$AN$23,MATCH(Drivers!$A18,DriversGams!$A$5:$A$23,0),MATCH(Drivers!S$5,DriversGams!$A$5:$AN$5,0))</f>
        <v>22.28</v>
      </c>
      <c r="T18" s="10">
        <f>INDEX(DriversGams!$A$5:$AN$23,MATCH(Drivers!$A18,DriversGams!$A$5:$A$23,0),MATCH(Drivers!T$5,DriversGams!$A$5:$AN$5,0))</f>
        <v>22.83</v>
      </c>
      <c r="U18" s="10">
        <f>INDEX(DriversGams!$A$5:$AN$23,MATCH(Drivers!$A18,DriversGams!$A$5:$A$23,0),MATCH(Drivers!U$5,DriversGams!$A$5:$AN$5,0))</f>
        <v>23.42</v>
      </c>
      <c r="V18" s="10">
        <f>INDEX(DriversGams!$A$5:$AN$23,MATCH(Drivers!$A18,DriversGams!$A$5:$A$23,0),MATCH(Drivers!V$5,DriversGams!$A$5:$AN$5,0))</f>
        <v>24.02</v>
      </c>
      <c r="W18" s="10">
        <f>INDEX(DriversGams!$A$5:$AN$23,MATCH(Drivers!$A18,DriversGams!$A$5:$A$23,0),MATCH(Drivers!W$5,DriversGams!$A$5:$AN$5,0))</f>
        <v>24.61</v>
      </c>
      <c r="X18" s="10">
        <f>INDEX(DriversGams!$A$5:$AN$23,MATCH(Drivers!$A18,DriversGams!$A$5:$A$23,0),MATCH(Drivers!X$5,DriversGams!$A$5:$AN$5,0))</f>
        <v>25.26</v>
      </c>
      <c r="Y18" s="10">
        <f>INDEX(DriversGams!$A$5:$AN$23,MATCH(Drivers!$A18,DriversGams!$A$5:$A$23,0),MATCH(Drivers!Y$5,DriversGams!$A$5:$AN$5,0))</f>
        <v>25.94</v>
      </c>
      <c r="Z18" s="10">
        <f>INDEX(DriversGams!$A$5:$AN$23,MATCH(Drivers!$A18,DriversGams!$A$5:$A$23,0),MATCH(Drivers!Z$5,DriversGams!$A$5:$AN$5,0))</f>
        <v>26.65</v>
      </c>
      <c r="AA18" s="10">
        <f>INDEX(DriversGams!$A$5:$AN$23,MATCH(Drivers!$A18,DriversGams!$A$5:$A$23,0),MATCH(Drivers!AA$5,DriversGams!$A$5:$AN$5,0))</f>
        <v>27.42</v>
      </c>
      <c r="AB18" s="10">
        <f>INDEX(DriversGams!$A$5:$AN$23,MATCH(Drivers!$A18,DriversGams!$A$5:$A$23,0),MATCH(Drivers!AB$5,DriversGams!$A$5:$AN$5,0))</f>
        <v>28.22</v>
      </c>
      <c r="AC18" s="10">
        <f>INDEX(DriversGams!$A$5:$AN$23,MATCH(Drivers!$A18,DriversGams!$A$5:$A$23,0),MATCH(Drivers!AC$5,DriversGams!$A$5:$AN$5,0))</f>
        <v>29.03</v>
      </c>
      <c r="AD18" s="10">
        <f>INDEX(DriversGams!$A$5:$AN$23,MATCH(Drivers!$A18,DriversGams!$A$5:$A$23,0),MATCH(Drivers!AD$5,DriversGams!$A$5:$AN$5,0))</f>
        <v>29.88</v>
      </c>
      <c r="AE18" s="10">
        <f>INDEX(DriversGams!$A$5:$AN$23,MATCH(Drivers!$A18,DriversGams!$A$5:$A$23,0),MATCH(Drivers!AE$5,DriversGams!$A$5:$AN$5,0))</f>
        <v>30.78</v>
      </c>
      <c r="AF18" s="10">
        <f>INDEX(DriversGams!$A$5:$AN$23,MATCH(Drivers!$A18,DriversGams!$A$5:$A$23,0),MATCH(Drivers!AF$5,DriversGams!$A$5:$AN$5,0))</f>
        <v>35.619999999999997</v>
      </c>
      <c r="AG18" s="10">
        <f>INDEX(DriversGams!$A$5:$AN$23,MATCH(Drivers!$A18,DriversGams!$A$5:$A$23,0),MATCH(Drivers!AG$5,DriversGams!$A$5:$AN$5,0))</f>
        <v>41.7</v>
      </c>
      <c r="AH18" s="150"/>
      <c r="AI18" s="150"/>
      <c r="AJ18" s="150"/>
      <c r="AK18" s="150"/>
      <c r="AL18" s="150"/>
      <c r="AM18" s="150"/>
      <c r="AO18" s="225">
        <f t="shared" si="3"/>
        <v>12</v>
      </c>
    </row>
    <row r="19" spans="1:41" s="225" customFormat="1">
      <c r="A19" s="158" t="s">
        <v>631</v>
      </c>
      <c r="B19" s="225">
        <f t="shared" si="2"/>
        <v>13</v>
      </c>
      <c r="C19" s="10">
        <f>INDEX(DriversGams!$A$5:$AN$23,MATCH(Drivers!$A19,DriversGams!$A$5:$A$23,0),MATCH(Drivers!C$5,DriversGams!$A$5:$AN$5,0))</f>
        <v>11.26</v>
      </c>
      <c r="D19" s="10">
        <f>INDEX(DriversGams!$A$5:$AN$23,MATCH(Drivers!$A19,DriversGams!$A$5:$A$23,0),MATCH(Drivers!D$5,DriversGams!$A$5:$AN$5,0))</f>
        <v>11.57</v>
      </c>
      <c r="E19" s="10">
        <f>INDEX(DriversGams!$A$5:$AN$23,MATCH(Drivers!$A19,DriversGams!$A$5:$A$23,0),MATCH(Drivers!E$5,DriversGams!$A$5:$AN$5,0))</f>
        <v>11.91</v>
      </c>
      <c r="F19" s="10">
        <f>INDEX(DriversGams!$A$5:$AN$23,MATCH(Drivers!$A19,DriversGams!$A$5:$A$23,0),MATCH(Drivers!F$5,DriversGams!$A$5:$AN$5,0))</f>
        <v>12.12</v>
      </c>
      <c r="G19" s="10">
        <f>INDEX(DriversGams!$A$5:$AN$23,MATCH(Drivers!$A19,DriversGams!$A$5:$A$23,0),MATCH(Drivers!G$5,DriversGams!$A$5:$AN$5,0))</f>
        <v>12.2</v>
      </c>
      <c r="H19" s="10">
        <f>INDEX(DriversGams!$A$5:$AN$23,MATCH(Drivers!$A19,DriversGams!$A$5:$A$23,0),MATCH(Drivers!H$5,DriversGams!$A$5:$AN$5,0))</f>
        <v>12.36</v>
      </c>
      <c r="I19" s="10">
        <f>INDEX(DriversGams!$A$5:$AN$23,MATCH(Drivers!$A19,DriversGams!$A$5:$A$23,0),MATCH(Drivers!I$5,DriversGams!$A$5:$AN$5,0))</f>
        <v>12.64</v>
      </c>
      <c r="J19" s="10">
        <f>INDEX(DriversGams!$A$5:$AN$23,MATCH(Drivers!$A19,DriversGams!$A$5:$A$23,0),MATCH(Drivers!J$5,DriversGams!$A$5:$AN$5,0))</f>
        <v>12.79</v>
      </c>
      <c r="K19" s="10">
        <f>INDEX(DriversGams!$A$5:$AN$23,MATCH(Drivers!$A19,DriversGams!$A$5:$A$23,0),MATCH(Drivers!K$5,DriversGams!$A$5:$AN$5,0))</f>
        <v>12</v>
      </c>
      <c r="L19" s="10">
        <f>INDEX(DriversGams!$A$5:$AN$23,MATCH(Drivers!$A19,DriversGams!$A$5:$A$23,0),MATCH(Drivers!L$5,DriversGams!$A$5:$AN$5,0))</f>
        <v>12.34</v>
      </c>
      <c r="M19" s="10">
        <f>INDEX(DriversGams!$A$5:$AN$23,MATCH(Drivers!$A19,DriversGams!$A$5:$A$23,0),MATCH(Drivers!M$5,DriversGams!$A$5:$AN$5,0))</f>
        <v>12.61</v>
      </c>
      <c r="N19" s="10">
        <f>INDEX(DriversGams!$A$5:$AN$23,MATCH(Drivers!$A19,DriversGams!$A$5:$A$23,0),MATCH(Drivers!N$5,DriversGams!$A$5:$AN$5,0))</f>
        <v>12.86</v>
      </c>
      <c r="O19" s="10">
        <f>INDEX(DriversGams!$A$5:$AN$23,MATCH(Drivers!$A19,DriversGams!$A$5:$A$23,0),MATCH(Drivers!O$5,DriversGams!$A$5:$AN$5,0))</f>
        <v>13.09</v>
      </c>
      <c r="P19" s="10">
        <f>INDEX(DriversGams!$A$5:$AN$23,MATCH(Drivers!$A19,DriversGams!$A$5:$A$23,0),MATCH(Drivers!P$5,DriversGams!$A$5:$AN$5,0))</f>
        <v>13.32</v>
      </c>
      <c r="Q19" s="10">
        <f>INDEX(DriversGams!$A$5:$AN$23,MATCH(Drivers!$A19,DriversGams!$A$5:$A$23,0),MATCH(Drivers!Q$5,DriversGams!$A$5:$AN$5,0))</f>
        <v>13.6</v>
      </c>
      <c r="R19" s="10">
        <f>INDEX(DriversGams!$A$5:$AN$23,MATCH(Drivers!$A19,DriversGams!$A$5:$A$23,0),MATCH(Drivers!R$5,DriversGams!$A$5:$AN$5,0))</f>
        <v>13.87</v>
      </c>
      <c r="S19" s="10">
        <f>INDEX(DriversGams!$A$5:$AN$23,MATCH(Drivers!$A19,DriversGams!$A$5:$A$23,0),MATCH(Drivers!S$5,DriversGams!$A$5:$AN$5,0))</f>
        <v>14.15</v>
      </c>
      <c r="T19" s="10">
        <f>INDEX(DriversGams!$A$5:$AN$23,MATCH(Drivers!$A19,DriversGams!$A$5:$A$23,0),MATCH(Drivers!T$5,DriversGams!$A$5:$AN$5,0))</f>
        <v>14.45</v>
      </c>
      <c r="U19" s="10">
        <f>INDEX(DriversGams!$A$5:$AN$23,MATCH(Drivers!$A19,DriversGams!$A$5:$A$23,0),MATCH(Drivers!U$5,DriversGams!$A$5:$AN$5,0))</f>
        <v>14.74</v>
      </c>
      <c r="V19" s="10">
        <f>INDEX(DriversGams!$A$5:$AN$23,MATCH(Drivers!$A19,DriversGams!$A$5:$A$23,0),MATCH(Drivers!V$5,DriversGams!$A$5:$AN$5,0))</f>
        <v>15.11</v>
      </c>
      <c r="W19" s="10">
        <f>INDEX(DriversGams!$A$5:$AN$23,MATCH(Drivers!$A19,DriversGams!$A$5:$A$23,0),MATCH(Drivers!W$5,DriversGams!$A$5:$AN$5,0))</f>
        <v>15.46</v>
      </c>
      <c r="X19" s="10">
        <f>INDEX(DriversGams!$A$5:$AN$23,MATCH(Drivers!$A19,DriversGams!$A$5:$A$23,0),MATCH(Drivers!X$5,DriversGams!$A$5:$AN$5,0))</f>
        <v>15.83</v>
      </c>
      <c r="Y19" s="10">
        <f>INDEX(DriversGams!$A$5:$AN$23,MATCH(Drivers!$A19,DriversGams!$A$5:$A$23,0),MATCH(Drivers!Y$5,DriversGams!$A$5:$AN$5,0))</f>
        <v>16.22</v>
      </c>
      <c r="Z19" s="10">
        <f>INDEX(DriversGams!$A$5:$AN$23,MATCH(Drivers!$A19,DriversGams!$A$5:$A$23,0),MATCH(Drivers!Z$5,DriversGams!$A$5:$AN$5,0))</f>
        <v>16.63</v>
      </c>
      <c r="AA19" s="10">
        <f>INDEX(DriversGams!$A$5:$AN$23,MATCH(Drivers!$A19,DriversGams!$A$5:$A$23,0),MATCH(Drivers!AA$5,DriversGams!$A$5:$AN$5,0))</f>
        <v>17.04</v>
      </c>
      <c r="AB19" s="10">
        <f>INDEX(DriversGams!$A$5:$AN$23,MATCH(Drivers!$A19,DriversGams!$A$5:$A$23,0),MATCH(Drivers!AB$5,DriversGams!$A$5:$AN$5,0))</f>
        <v>17.47</v>
      </c>
      <c r="AC19" s="10">
        <f>INDEX(DriversGams!$A$5:$AN$23,MATCH(Drivers!$A19,DriversGams!$A$5:$A$23,0),MATCH(Drivers!AC$5,DriversGams!$A$5:$AN$5,0))</f>
        <v>17.89</v>
      </c>
      <c r="AD19" s="10">
        <f>INDEX(DriversGams!$A$5:$AN$23,MATCH(Drivers!$A19,DriversGams!$A$5:$A$23,0),MATCH(Drivers!AD$5,DriversGams!$A$5:$AN$5,0))</f>
        <v>18.329999999999998</v>
      </c>
      <c r="AE19" s="10">
        <f>INDEX(DriversGams!$A$5:$AN$23,MATCH(Drivers!$A19,DriversGams!$A$5:$A$23,0),MATCH(Drivers!AE$5,DriversGams!$A$5:$AN$5,0))</f>
        <v>18.8</v>
      </c>
      <c r="AF19" s="10">
        <f>INDEX(DriversGams!$A$5:$AN$23,MATCH(Drivers!$A19,DriversGams!$A$5:$A$23,0),MATCH(Drivers!AF$5,DriversGams!$A$5:$AN$5,0))</f>
        <v>21.32</v>
      </c>
      <c r="AG19" s="10">
        <f>INDEX(DriversGams!$A$5:$AN$23,MATCH(Drivers!$A19,DriversGams!$A$5:$A$23,0),MATCH(Drivers!AG$5,DriversGams!$A$5:$AN$5,0))</f>
        <v>24.05</v>
      </c>
      <c r="AH19" s="150"/>
      <c r="AI19" s="150"/>
      <c r="AJ19" s="150"/>
      <c r="AK19" s="150"/>
      <c r="AL19" s="150"/>
      <c r="AM19" s="150"/>
      <c r="AO19" s="225">
        <f t="shared" si="3"/>
        <v>13</v>
      </c>
    </row>
    <row r="20" spans="1:41" s="225" customFormat="1">
      <c r="A20" s="158" t="s">
        <v>630</v>
      </c>
      <c r="B20" s="225">
        <f t="shared" si="2"/>
        <v>14</v>
      </c>
      <c r="C20" s="10">
        <f>INDEX(DriversGams!$A$5:$AN$23,MATCH(Drivers!$A20,DriversGams!$A$5:$A$23,0),MATCH(Drivers!C$5,DriversGams!$A$5:$AN$5,0))</f>
        <v>135.96</v>
      </c>
      <c r="D20" s="10">
        <f>INDEX(DriversGams!$A$5:$AN$23,MATCH(Drivers!$A20,DriversGams!$A$5:$A$23,0),MATCH(Drivers!D$5,DriversGams!$A$5:$AN$5,0))</f>
        <v>139.72999999999999</v>
      </c>
      <c r="E20" s="10">
        <f>INDEX(DriversGams!$A$5:$AN$23,MATCH(Drivers!$A20,DriversGams!$A$5:$A$23,0),MATCH(Drivers!E$5,DriversGams!$A$5:$AN$5,0))</f>
        <v>142.69999999999999</v>
      </c>
      <c r="F20" s="10">
        <f>INDEX(DriversGams!$A$5:$AN$23,MATCH(Drivers!$A20,DriversGams!$A$5:$A$23,0),MATCH(Drivers!F$5,DriversGams!$A$5:$AN$5,0))</f>
        <v>144.16</v>
      </c>
      <c r="G20" s="10">
        <f>INDEX(DriversGams!$A$5:$AN$23,MATCH(Drivers!$A20,DriversGams!$A$5:$A$23,0),MATCH(Drivers!G$5,DriversGams!$A$5:$AN$5,0))</f>
        <v>145.31</v>
      </c>
      <c r="H20" s="10">
        <f>INDEX(DriversGams!$A$5:$AN$23,MATCH(Drivers!$A20,DriversGams!$A$5:$A$23,0),MATCH(Drivers!H$5,DriversGams!$A$5:$AN$5,0))</f>
        <v>147.16</v>
      </c>
      <c r="I20" s="10">
        <f>INDEX(DriversGams!$A$5:$AN$23,MATCH(Drivers!$A20,DriversGams!$A$5:$A$23,0),MATCH(Drivers!I$5,DriversGams!$A$5:$AN$5,0))</f>
        <v>148.75</v>
      </c>
      <c r="J20" s="10">
        <f>INDEX(DriversGams!$A$5:$AN$23,MATCH(Drivers!$A20,DriversGams!$A$5:$A$23,0),MATCH(Drivers!J$5,DriversGams!$A$5:$AN$5,0))</f>
        <v>149.16999999999999</v>
      </c>
      <c r="K20" s="10">
        <f>INDEX(DriversGams!$A$5:$AN$23,MATCH(Drivers!$A20,DriversGams!$A$5:$A$23,0),MATCH(Drivers!K$5,DriversGams!$A$5:$AN$5,0))</f>
        <v>138.22</v>
      </c>
      <c r="L20" s="10">
        <f>INDEX(DriversGams!$A$5:$AN$23,MATCH(Drivers!$A20,DriversGams!$A$5:$A$23,0),MATCH(Drivers!L$5,DriversGams!$A$5:$AN$5,0))</f>
        <v>141.11000000000001</v>
      </c>
      <c r="M20" s="10">
        <f>INDEX(DriversGams!$A$5:$AN$23,MATCH(Drivers!$A20,DriversGams!$A$5:$A$23,0),MATCH(Drivers!M$5,DriversGams!$A$5:$AN$5,0))</f>
        <v>144.02000000000001</v>
      </c>
      <c r="N20" s="10">
        <f>INDEX(DriversGams!$A$5:$AN$23,MATCH(Drivers!$A20,DriversGams!$A$5:$A$23,0),MATCH(Drivers!N$5,DriversGams!$A$5:$AN$5,0))</f>
        <v>146.85</v>
      </c>
      <c r="O20" s="10">
        <f>INDEX(DriversGams!$A$5:$AN$23,MATCH(Drivers!$A20,DriversGams!$A$5:$A$23,0),MATCH(Drivers!O$5,DriversGams!$A$5:$AN$5,0))</f>
        <v>149.56</v>
      </c>
      <c r="P20" s="10">
        <f>INDEX(DriversGams!$A$5:$AN$23,MATCH(Drivers!$A20,DriversGams!$A$5:$A$23,0),MATCH(Drivers!P$5,DriversGams!$A$5:$AN$5,0))</f>
        <v>152.32</v>
      </c>
      <c r="Q20" s="10">
        <f>INDEX(DriversGams!$A$5:$AN$23,MATCH(Drivers!$A20,DriversGams!$A$5:$A$23,0),MATCH(Drivers!Q$5,DriversGams!$A$5:$AN$5,0))</f>
        <v>155.71</v>
      </c>
      <c r="R20" s="10">
        <f>INDEX(DriversGams!$A$5:$AN$23,MATCH(Drivers!$A20,DriversGams!$A$5:$A$23,0),MATCH(Drivers!R$5,DriversGams!$A$5:$AN$5,0))</f>
        <v>158.9</v>
      </c>
      <c r="S20" s="10">
        <f>INDEX(DriversGams!$A$5:$AN$23,MATCH(Drivers!$A20,DriversGams!$A$5:$A$23,0),MATCH(Drivers!S$5,DriversGams!$A$5:$AN$5,0))</f>
        <v>162.26</v>
      </c>
      <c r="T20" s="10">
        <f>INDEX(DriversGams!$A$5:$AN$23,MATCH(Drivers!$A20,DriversGams!$A$5:$A$23,0),MATCH(Drivers!T$5,DriversGams!$A$5:$AN$5,0))</f>
        <v>165.94</v>
      </c>
      <c r="U20" s="10">
        <f>INDEX(DriversGams!$A$5:$AN$23,MATCH(Drivers!$A20,DriversGams!$A$5:$A$23,0),MATCH(Drivers!U$5,DriversGams!$A$5:$AN$5,0))</f>
        <v>169.63</v>
      </c>
      <c r="V20" s="10">
        <f>INDEX(DriversGams!$A$5:$AN$23,MATCH(Drivers!$A20,DriversGams!$A$5:$A$23,0),MATCH(Drivers!V$5,DriversGams!$A$5:$AN$5,0))</f>
        <v>174.19</v>
      </c>
      <c r="W20" s="10">
        <f>INDEX(DriversGams!$A$5:$AN$23,MATCH(Drivers!$A20,DriversGams!$A$5:$A$23,0),MATCH(Drivers!W$5,DriversGams!$A$5:$AN$5,0))</f>
        <v>178.43</v>
      </c>
      <c r="X20" s="10">
        <f>INDEX(DriversGams!$A$5:$AN$23,MATCH(Drivers!$A20,DriversGams!$A$5:$A$23,0),MATCH(Drivers!X$5,DriversGams!$A$5:$AN$5,0))</f>
        <v>183.19</v>
      </c>
      <c r="Y20" s="10">
        <f>INDEX(DriversGams!$A$5:$AN$23,MATCH(Drivers!$A20,DriversGams!$A$5:$A$23,0),MATCH(Drivers!Y$5,DriversGams!$A$5:$AN$5,0))</f>
        <v>188.3</v>
      </c>
      <c r="Z20" s="10">
        <f>INDEX(DriversGams!$A$5:$AN$23,MATCH(Drivers!$A20,DriversGams!$A$5:$A$23,0),MATCH(Drivers!Z$5,DriversGams!$A$5:$AN$5,0))</f>
        <v>193.91</v>
      </c>
      <c r="AA20" s="10">
        <f>INDEX(DriversGams!$A$5:$AN$23,MATCH(Drivers!$A20,DriversGams!$A$5:$A$23,0),MATCH(Drivers!AA$5,DriversGams!$A$5:$AN$5,0))</f>
        <v>199.62</v>
      </c>
      <c r="AB20" s="10">
        <f>INDEX(DriversGams!$A$5:$AN$23,MATCH(Drivers!$A20,DriversGams!$A$5:$A$23,0),MATCH(Drivers!AB$5,DriversGams!$A$5:$AN$5,0))</f>
        <v>205.55</v>
      </c>
      <c r="AC20" s="10">
        <f>INDEX(DriversGams!$A$5:$AN$23,MATCH(Drivers!$A20,DriversGams!$A$5:$A$23,0),MATCH(Drivers!AC$5,DriversGams!$A$5:$AN$5,0))</f>
        <v>211.53</v>
      </c>
      <c r="AD20" s="10">
        <f>INDEX(DriversGams!$A$5:$AN$23,MATCH(Drivers!$A20,DriversGams!$A$5:$A$23,0),MATCH(Drivers!AD$5,DriversGams!$A$5:$AN$5,0))</f>
        <v>217.76</v>
      </c>
      <c r="AE20" s="10">
        <f>INDEX(DriversGams!$A$5:$AN$23,MATCH(Drivers!$A20,DriversGams!$A$5:$A$23,0),MATCH(Drivers!AE$5,DriversGams!$A$5:$AN$5,0))</f>
        <v>224.36</v>
      </c>
      <c r="AF20" s="10">
        <f>INDEX(DriversGams!$A$5:$AN$23,MATCH(Drivers!$A20,DriversGams!$A$5:$A$23,0),MATCH(Drivers!AF$5,DriversGams!$A$5:$AN$5,0))</f>
        <v>261.98</v>
      </c>
      <c r="AG20" s="10">
        <f>INDEX(DriversGams!$A$5:$AN$23,MATCH(Drivers!$A20,DriversGams!$A$5:$A$23,0),MATCH(Drivers!AG$5,DriversGams!$A$5:$AN$5,0))</f>
        <v>309.06</v>
      </c>
      <c r="AH20" s="150"/>
      <c r="AI20" s="150"/>
      <c r="AJ20" s="150"/>
      <c r="AK20" s="150"/>
      <c r="AL20" s="150"/>
      <c r="AM20" s="150"/>
      <c r="AO20" s="225">
        <f t="shared" si="3"/>
        <v>14</v>
      </c>
    </row>
    <row r="21" spans="1:41" s="225" customFormat="1">
      <c r="A21" s="158" t="s">
        <v>629</v>
      </c>
      <c r="B21" s="225">
        <f t="shared" si="2"/>
        <v>15</v>
      </c>
      <c r="C21" s="10">
        <f>INDEX(DriversGams!$A$5:$AN$23,MATCH(Drivers!$A21,DriversGams!$A$5:$A$23,0),MATCH(Drivers!C$5,DriversGams!$A$5:$AN$5,0))</f>
        <v>21.15</v>
      </c>
      <c r="D21" s="10">
        <f>INDEX(DriversGams!$A$5:$AN$23,MATCH(Drivers!$A21,DriversGams!$A$5:$A$23,0),MATCH(Drivers!D$5,DriversGams!$A$5:$AN$5,0))</f>
        <v>22.37</v>
      </c>
      <c r="E21" s="10">
        <f>INDEX(DriversGams!$A$5:$AN$23,MATCH(Drivers!$A21,DriversGams!$A$5:$A$23,0),MATCH(Drivers!E$5,DriversGams!$A$5:$AN$5,0))</f>
        <v>23.86</v>
      </c>
      <c r="F21" s="10">
        <f>INDEX(DriversGams!$A$5:$AN$23,MATCH(Drivers!$A21,DriversGams!$A$5:$A$23,0),MATCH(Drivers!F$5,DriversGams!$A$5:$AN$5,0))</f>
        <v>24.79</v>
      </c>
      <c r="G21" s="10">
        <f>INDEX(DriversGams!$A$5:$AN$23,MATCH(Drivers!$A21,DriversGams!$A$5:$A$23,0),MATCH(Drivers!G$5,DriversGams!$A$5:$AN$5,0))</f>
        <v>25.39</v>
      </c>
      <c r="H21" s="10">
        <f>INDEX(DriversGams!$A$5:$AN$23,MATCH(Drivers!$A21,DriversGams!$A$5:$A$23,0),MATCH(Drivers!H$5,DriversGams!$A$5:$AN$5,0))</f>
        <v>26.91</v>
      </c>
      <c r="I21" s="10">
        <f>INDEX(DriversGams!$A$5:$AN$23,MATCH(Drivers!$A21,DriversGams!$A$5:$A$23,0),MATCH(Drivers!I$5,DriversGams!$A$5:$AN$5,0))</f>
        <v>28.69</v>
      </c>
      <c r="J21" s="10">
        <f>INDEX(DriversGams!$A$5:$AN$23,MATCH(Drivers!$A21,DriversGams!$A$5:$A$23,0),MATCH(Drivers!J$5,DriversGams!$A$5:$AN$5,0))</f>
        <v>29.81</v>
      </c>
      <c r="K21" s="10">
        <f>INDEX(DriversGams!$A$5:$AN$23,MATCH(Drivers!$A21,DriversGams!$A$5:$A$23,0),MATCH(Drivers!K$5,DriversGams!$A$5:$AN$5,0))</f>
        <v>28.74</v>
      </c>
      <c r="L21" s="10">
        <f>INDEX(DriversGams!$A$5:$AN$23,MATCH(Drivers!$A21,DriversGams!$A$5:$A$23,0),MATCH(Drivers!L$5,DriversGams!$A$5:$AN$5,0))</f>
        <v>30.06</v>
      </c>
      <c r="M21" s="10">
        <f>INDEX(DriversGams!$A$5:$AN$23,MATCH(Drivers!$A21,DriversGams!$A$5:$A$23,0),MATCH(Drivers!M$5,DriversGams!$A$5:$AN$5,0))</f>
        <v>31.41</v>
      </c>
      <c r="N21" s="10">
        <f>INDEX(DriversGams!$A$5:$AN$23,MATCH(Drivers!$A21,DriversGams!$A$5:$A$23,0),MATCH(Drivers!N$5,DriversGams!$A$5:$AN$5,0))</f>
        <v>32.79</v>
      </c>
      <c r="O21" s="10">
        <f>INDEX(DriversGams!$A$5:$AN$23,MATCH(Drivers!$A21,DriversGams!$A$5:$A$23,0),MATCH(Drivers!O$5,DriversGams!$A$5:$AN$5,0))</f>
        <v>34.18</v>
      </c>
      <c r="P21" s="10">
        <f>INDEX(DriversGams!$A$5:$AN$23,MATCH(Drivers!$A21,DriversGams!$A$5:$A$23,0),MATCH(Drivers!P$5,DriversGams!$A$5:$AN$5,0))</f>
        <v>35.74</v>
      </c>
      <c r="Q21" s="10">
        <f>INDEX(DriversGams!$A$5:$AN$23,MATCH(Drivers!$A21,DriversGams!$A$5:$A$23,0),MATCH(Drivers!Q$5,DriversGams!$A$5:$AN$5,0))</f>
        <v>37.880000000000003</v>
      </c>
      <c r="R21" s="10">
        <f>INDEX(DriversGams!$A$5:$AN$23,MATCH(Drivers!$A21,DriversGams!$A$5:$A$23,0),MATCH(Drivers!R$5,DriversGams!$A$5:$AN$5,0))</f>
        <v>40.24</v>
      </c>
      <c r="S21" s="10">
        <f>INDEX(DriversGams!$A$5:$AN$23,MATCH(Drivers!$A21,DriversGams!$A$5:$A$23,0),MATCH(Drivers!S$5,DriversGams!$A$5:$AN$5,0))</f>
        <v>42.9</v>
      </c>
      <c r="T21" s="10">
        <f>INDEX(DriversGams!$A$5:$AN$23,MATCH(Drivers!$A21,DriversGams!$A$5:$A$23,0),MATCH(Drivers!T$5,DriversGams!$A$5:$AN$5,0))</f>
        <v>45.9</v>
      </c>
      <c r="U21" s="10">
        <f>INDEX(DriversGams!$A$5:$AN$23,MATCH(Drivers!$A21,DriversGams!$A$5:$A$23,0),MATCH(Drivers!U$5,DriversGams!$A$5:$AN$5,0))</f>
        <v>49.13</v>
      </c>
      <c r="V21" s="10">
        <f>INDEX(DriversGams!$A$5:$AN$23,MATCH(Drivers!$A21,DriversGams!$A$5:$A$23,0),MATCH(Drivers!V$5,DriversGams!$A$5:$AN$5,0))</f>
        <v>52.76</v>
      </c>
      <c r="W21" s="10">
        <f>INDEX(DriversGams!$A$5:$AN$23,MATCH(Drivers!$A21,DriversGams!$A$5:$A$23,0),MATCH(Drivers!W$5,DriversGams!$A$5:$AN$5,0))</f>
        <v>56.4</v>
      </c>
      <c r="X21" s="10">
        <f>INDEX(DriversGams!$A$5:$AN$23,MATCH(Drivers!$A21,DriversGams!$A$5:$A$23,0),MATCH(Drivers!X$5,DriversGams!$A$5:$AN$5,0))</f>
        <v>60.42</v>
      </c>
      <c r="Y21" s="10">
        <f>INDEX(DriversGams!$A$5:$AN$23,MATCH(Drivers!$A21,DriversGams!$A$5:$A$23,0),MATCH(Drivers!Y$5,DriversGams!$A$5:$AN$5,0))</f>
        <v>64.709999999999994</v>
      </c>
      <c r="Z21" s="10">
        <f>INDEX(DriversGams!$A$5:$AN$23,MATCH(Drivers!$A21,DriversGams!$A$5:$A$23,0),MATCH(Drivers!Z$5,DriversGams!$A$5:$AN$5,0))</f>
        <v>69.47</v>
      </c>
      <c r="AA21" s="10">
        <f>INDEX(DriversGams!$A$5:$AN$23,MATCH(Drivers!$A21,DriversGams!$A$5:$A$23,0),MATCH(Drivers!AA$5,DriversGams!$A$5:$AN$5,0))</f>
        <v>74.56</v>
      </c>
      <c r="AB21" s="10">
        <f>INDEX(DriversGams!$A$5:$AN$23,MATCH(Drivers!$A21,DriversGams!$A$5:$A$23,0),MATCH(Drivers!AB$5,DriversGams!$A$5:$AN$5,0))</f>
        <v>79.92</v>
      </c>
      <c r="AC21" s="10">
        <f>INDEX(DriversGams!$A$5:$AN$23,MATCH(Drivers!$A21,DriversGams!$A$5:$A$23,0),MATCH(Drivers!AC$5,DriversGams!$A$5:$AN$5,0))</f>
        <v>85.44</v>
      </c>
      <c r="AD21" s="10">
        <f>INDEX(DriversGams!$A$5:$AN$23,MATCH(Drivers!$A21,DriversGams!$A$5:$A$23,0),MATCH(Drivers!AD$5,DriversGams!$A$5:$AN$5,0))</f>
        <v>91.27</v>
      </c>
      <c r="AE21" s="10">
        <f>INDEX(DriversGams!$A$5:$AN$23,MATCH(Drivers!$A21,DriversGams!$A$5:$A$23,0),MATCH(Drivers!AE$5,DriversGams!$A$5:$AN$5,0))</f>
        <v>97.47</v>
      </c>
      <c r="AF21" s="10">
        <f>INDEX(DriversGams!$A$5:$AN$23,MATCH(Drivers!$A21,DriversGams!$A$5:$A$23,0),MATCH(Drivers!AF$5,DriversGams!$A$5:$AN$5,0))</f>
        <v>129.41999999999999</v>
      </c>
      <c r="AG21" s="10">
        <f>INDEX(DriversGams!$A$5:$AN$23,MATCH(Drivers!$A21,DriversGams!$A$5:$A$23,0),MATCH(Drivers!AG$5,DriversGams!$A$5:$AN$5,0))</f>
        <v>163.72</v>
      </c>
      <c r="AH21" s="150"/>
      <c r="AI21" s="150"/>
      <c r="AJ21" s="150"/>
      <c r="AK21" s="150"/>
      <c r="AL21" s="150"/>
      <c r="AM21" s="150"/>
      <c r="AO21" s="225">
        <f t="shared" si="3"/>
        <v>15</v>
      </c>
    </row>
    <row r="22" spans="1:41" s="225" customFormat="1">
      <c r="A22" s="158" t="s">
        <v>632</v>
      </c>
      <c r="B22" s="225">
        <f t="shared" si="2"/>
        <v>16</v>
      </c>
      <c r="C22" s="10">
        <f>INDEX(DriversGams!$A$5:$AN$23,MATCH(Drivers!$A22,DriversGams!$A$5:$A$23,0),MATCH(Drivers!C$5,DriversGams!$A$5:$AN$5,0))</f>
        <v>1.1399999999999999</v>
      </c>
      <c r="D22" s="10">
        <f>INDEX(DriversGams!$A$5:$AN$23,MATCH(Drivers!$A22,DriversGams!$A$5:$A$23,0),MATCH(Drivers!D$5,DriversGams!$A$5:$AN$5,0))</f>
        <v>1.1599999999999999</v>
      </c>
      <c r="E22" s="10">
        <f>INDEX(DriversGams!$A$5:$AN$23,MATCH(Drivers!$A22,DriversGams!$A$5:$A$23,0),MATCH(Drivers!E$5,DriversGams!$A$5:$AN$5,0))</f>
        <v>1.1399999999999999</v>
      </c>
      <c r="F22" s="10">
        <f>INDEX(DriversGams!$A$5:$AN$23,MATCH(Drivers!$A22,DriversGams!$A$5:$A$23,0),MATCH(Drivers!F$5,DriversGams!$A$5:$AN$5,0))</f>
        <v>1.1299999999999999</v>
      </c>
      <c r="G22" s="10">
        <f>INDEX(DriversGams!$A$5:$AN$23,MATCH(Drivers!$A22,DriversGams!$A$5:$A$23,0),MATCH(Drivers!G$5,DriversGams!$A$5:$AN$5,0))</f>
        <v>1.1499999999999999</v>
      </c>
      <c r="H22" s="10">
        <f>INDEX(DriversGams!$A$5:$AN$23,MATCH(Drivers!$A22,DriversGams!$A$5:$A$23,0),MATCH(Drivers!H$5,DriversGams!$A$5:$AN$5,0))</f>
        <v>1.1499999999999999</v>
      </c>
      <c r="I22" s="10">
        <f>INDEX(DriversGams!$A$5:$AN$23,MATCH(Drivers!$A22,DriversGams!$A$5:$A$23,0),MATCH(Drivers!I$5,DriversGams!$A$5:$AN$5,0))</f>
        <v>1.1200000000000001</v>
      </c>
      <c r="J22" s="10">
        <f>INDEX(DriversGams!$A$5:$AN$23,MATCH(Drivers!$A22,DriversGams!$A$5:$A$23,0),MATCH(Drivers!J$5,DriversGams!$A$5:$AN$5,0))</f>
        <v>1.0900000000000001</v>
      </c>
      <c r="K22" s="10">
        <f>INDEX(DriversGams!$A$5:$AN$23,MATCH(Drivers!$A22,DriversGams!$A$5:$A$23,0),MATCH(Drivers!K$5,DriversGams!$A$5:$AN$5,0))</f>
        <v>0.99</v>
      </c>
      <c r="L22" s="10">
        <f>INDEX(DriversGams!$A$5:$AN$23,MATCH(Drivers!$A22,DriversGams!$A$5:$A$23,0),MATCH(Drivers!L$5,DriversGams!$A$5:$AN$5,0))</f>
        <v>0.99</v>
      </c>
      <c r="M22" s="10">
        <f>INDEX(DriversGams!$A$5:$AN$23,MATCH(Drivers!$A22,DriversGams!$A$5:$A$23,0),MATCH(Drivers!M$5,DriversGams!$A$5:$AN$5,0))</f>
        <v>1</v>
      </c>
      <c r="N22" s="10">
        <f>INDEX(DriversGams!$A$5:$AN$23,MATCH(Drivers!$A22,DriversGams!$A$5:$A$23,0),MATCH(Drivers!N$5,DriversGams!$A$5:$AN$5,0))</f>
        <v>1.02</v>
      </c>
      <c r="O22" s="10">
        <f>INDEX(DriversGams!$A$5:$AN$23,MATCH(Drivers!$A22,DriversGams!$A$5:$A$23,0),MATCH(Drivers!O$5,DriversGams!$A$5:$AN$5,0))</f>
        <v>1.03</v>
      </c>
      <c r="P22" s="10">
        <f>INDEX(DriversGams!$A$5:$AN$23,MATCH(Drivers!$A22,DriversGams!$A$5:$A$23,0),MATCH(Drivers!P$5,DriversGams!$A$5:$AN$5,0))</f>
        <v>1.05</v>
      </c>
      <c r="Q22" s="10">
        <f>INDEX(DriversGams!$A$5:$AN$23,MATCH(Drivers!$A22,DriversGams!$A$5:$A$23,0),MATCH(Drivers!Q$5,DriversGams!$A$5:$AN$5,0))</f>
        <v>1.07</v>
      </c>
      <c r="R22" s="10">
        <f>INDEX(DriversGams!$A$5:$AN$23,MATCH(Drivers!$A22,DriversGams!$A$5:$A$23,0),MATCH(Drivers!R$5,DriversGams!$A$5:$AN$5,0))</f>
        <v>1.0900000000000001</v>
      </c>
      <c r="S22" s="10">
        <f>INDEX(DriversGams!$A$5:$AN$23,MATCH(Drivers!$A22,DriversGams!$A$5:$A$23,0),MATCH(Drivers!S$5,DriversGams!$A$5:$AN$5,0))</f>
        <v>1.1100000000000001</v>
      </c>
      <c r="T22" s="10">
        <f>INDEX(DriversGams!$A$5:$AN$23,MATCH(Drivers!$A22,DriversGams!$A$5:$A$23,0),MATCH(Drivers!T$5,DriversGams!$A$5:$AN$5,0))</f>
        <v>1.1399999999999999</v>
      </c>
      <c r="U22" s="10">
        <f>INDEX(DriversGams!$A$5:$AN$23,MATCH(Drivers!$A22,DriversGams!$A$5:$A$23,0),MATCH(Drivers!U$5,DriversGams!$A$5:$AN$5,0))</f>
        <v>1.1599999999999999</v>
      </c>
      <c r="V22" s="10">
        <f>INDEX(DriversGams!$A$5:$AN$23,MATCH(Drivers!$A22,DriversGams!$A$5:$A$23,0),MATCH(Drivers!V$5,DriversGams!$A$5:$AN$5,0))</f>
        <v>1.2</v>
      </c>
      <c r="W22" s="10">
        <f>INDEX(DriversGams!$A$5:$AN$23,MATCH(Drivers!$A22,DriversGams!$A$5:$A$23,0),MATCH(Drivers!W$5,DriversGams!$A$5:$AN$5,0))</f>
        <v>1.23</v>
      </c>
      <c r="X22" s="10">
        <f>INDEX(DriversGams!$A$5:$AN$23,MATCH(Drivers!$A22,DriversGams!$A$5:$A$23,0),MATCH(Drivers!X$5,DriversGams!$A$5:$AN$5,0))</f>
        <v>1.27</v>
      </c>
      <c r="Y22" s="10">
        <f>INDEX(DriversGams!$A$5:$AN$23,MATCH(Drivers!$A22,DriversGams!$A$5:$A$23,0),MATCH(Drivers!Y$5,DriversGams!$A$5:$AN$5,0))</f>
        <v>1.31</v>
      </c>
      <c r="Z22" s="10">
        <f>INDEX(DriversGams!$A$5:$AN$23,MATCH(Drivers!$A22,DriversGams!$A$5:$A$23,0),MATCH(Drivers!Z$5,DriversGams!$A$5:$AN$5,0))</f>
        <v>1.36</v>
      </c>
      <c r="AA22" s="10">
        <f>INDEX(DriversGams!$A$5:$AN$23,MATCH(Drivers!$A22,DriversGams!$A$5:$A$23,0),MATCH(Drivers!AA$5,DriversGams!$A$5:$AN$5,0))</f>
        <v>1.42</v>
      </c>
      <c r="AB22" s="10">
        <f>INDEX(DriversGams!$A$5:$AN$23,MATCH(Drivers!$A22,DriversGams!$A$5:$A$23,0),MATCH(Drivers!AB$5,DriversGams!$A$5:$AN$5,0))</f>
        <v>1.47</v>
      </c>
      <c r="AC22" s="10">
        <f>INDEX(DriversGams!$A$5:$AN$23,MATCH(Drivers!$A22,DriversGams!$A$5:$A$23,0),MATCH(Drivers!AC$5,DriversGams!$A$5:$AN$5,0))</f>
        <v>1.53</v>
      </c>
      <c r="AD22" s="10">
        <f>INDEX(DriversGams!$A$5:$AN$23,MATCH(Drivers!$A22,DriversGams!$A$5:$A$23,0),MATCH(Drivers!AD$5,DriversGams!$A$5:$AN$5,0))</f>
        <v>1.58</v>
      </c>
      <c r="AE22" s="10">
        <f>INDEX(DriversGams!$A$5:$AN$23,MATCH(Drivers!$A22,DriversGams!$A$5:$A$23,0),MATCH(Drivers!AE$5,DriversGams!$A$5:$AN$5,0))</f>
        <v>1.65</v>
      </c>
      <c r="AF22" s="10">
        <f>INDEX(DriversGams!$A$5:$AN$23,MATCH(Drivers!$A22,DriversGams!$A$5:$A$23,0),MATCH(Drivers!AF$5,DriversGams!$A$5:$AN$5,0))</f>
        <v>2.0499999999999998</v>
      </c>
      <c r="AG22" s="10">
        <f>INDEX(DriversGams!$A$5:$AN$23,MATCH(Drivers!$A22,DriversGams!$A$5:$A$23,0),MATCH(Drivers!AG$5,DriversGams!$A$5:$AN$5,0))</f>
        <v>2.66</v>
      </c>
      <c r="AH22" s="150"/>
      <c r="AI22" s="150"/>
      <c r="AJ22" s="150"/>
      <c r="AK22" s="150"/>
      <c r="AL22" s="150"/>
      <c r="AM22" s="150"/>
      <c r="AO22" s="225">
        <f t="shared" si="3"/>
        <v>16</v>
      </c>
    </row>
    <row r="23" spans="1:41" s="225" customFormat="1">
      <c r="A23" s="158" t="s">
        <v>636</v>
      </c>
      <c r="B23" s="225">
        <f t="shared" si="2"/>
        <v>17</v>
      </c>
      <c r="C23" s="10">
        <f>INDEX(DriversGams!$A$5:$AN$23,MATCH(Drivers!$A23,DriversGams!$A$5:$A$23,0),MATCH(Drivers!C$5,DriversGams!$A$5:$AN$5,0))</f>
        <v>66.42</v>
      </c>
      <c r="D23" s="10">
        <f>INDEX(DriversGams!$A$5:$AN$23,MATCH(Drivers!$A23,DriversGams!$A$5:$A$23,0),MATCH(Drivers!D$5,DriversGams!$A$5:$AN$5,0))</f>
        <v>65.98</v>
      </c>
      <c r="E23" s="10">
        <f>INDEX(DriversGams!$A$5:$AN$23,MATCH(Drivers!$A23,DriversGams!$A$5:$A$23,0),MATCH(Drivers!E$5,DriversGams!$A$5:$AN$5,0))</f>
        <v>65.72</v>
      </c>
      <c r="F23" s="10">
        <f>INDEX(DriversGams!$A$5:$AN$23,MATCH(Drivers!$A23,DriversGams!$A$5:$A$23,0),MATCH(Drivers!F$5,DriversGams!$A$5:$AN$5,0))</f>
        <v>65.459999999999994</v>
      </c>
      <c r="G23" s="10">
        <f>INDEX(DriversGams!$A$5:$AN$23,MATCH(Drivers!$A23,DriversGams!$A$5:$A$23,0),MATCH(Drivers!G$5,DriversGams!$A$5:$AN$5,0))</f>
        <v>64.28</v>
      </c>
      <c r="H23" s="10">
        <f>INDEX(DriversGams!$A$5:$AN$23,MATCH(Drivers!$A23,DriversGams!$A$5:$A$23,0),MATCH(Drivers!H$5,DriversGams!$A$5:$AN$5,0))</f>
        <v>63.85</v>
      </c>
      <c r="I23" s="10">
        <f>INDEX(DriversGams!$A$5:$AN$23,MATCH(Drivers!$A23,DriversGams!$A$5:$A$23,0),MATCH(Drivers!I$5,DriversGams!$A$5:$AN$5,0))</f>
        <v>63.13</v>
      </c>
      <c r="J23" s="10">
        <f>INDEX(DriversGams!$A$5:$AN$23,MATCH(Drivers!$A23,DriversGams!$A$5:$A$23,0),MATCH(Drivers!J$5,DriversGams!$A$5:$AN$5,0))</f>
        <v>62.24</v>
      </c>
      <c r="K23" s="10">
        <f>INDEX(DriversGams!$A$5:$AN$23,MATCH(Drivers!$A23,DriversGams!$A$5:$A$23,0),MATCH(Drivers!K$5,DriversGams!$A$5:$AN$5,0))</f>
        <v>61.58</v>
      </c>
      <c r="L23" s="10">
        <f>INDEX(DriversGams!$A$5:$AN$23,MATCH(Drivers!$A23,DriversGams!$A$5:$A$23,0),MATCH(Drivers!L$5,DriversGams!$A$5:$AN$5,0))</f>
        <v>60.37</v>
      </c>
      <c r="M23" s="10">
        <f>INDEX(DriversGams!$A$5:$AN$23,MATCH(Drivers!$A23,DriversGams!$A$5:$A$23,0),MATCH(Drivers!M$5,DriversGams!$A$5:$AN$5,0))</f>
        <v>60.1</v>
      </c>
      <c r="N23" s="10">
        <f>INDEX(DriversGams!$A$5:$AN$23,MATCH(Drivers!$A23,DriversGams!$A$5:$A$23,0),MATCH(Drivers!N$5,DriversGams!$A$5:$AN$5,0))</f>
        <v>59.84</v>
      </c>
      <c r="O23" s="10">
        <f>INDEX(DriversGams!$A$5:$AN$23,MATCH(Drivers!$A23,DriversGams!$A$5:$A$23,0),MATCH(Drivers!O$5,DriversGams!$A$5:$AN$5,0))</f>
        <v>59.34</v>
      </c>
      <c r="P23" s="10">
        <f>INDEX(DriversGams!$A$5:$AN$23,MATCH(Drivers!$A23,DriversGams!$A$5:$A$23,0),MATCH(Drivers!P$5,DriversGams!$A$5:$AN$5,0))</f>
        <v>58.75</v>
      </c>
      <c r="Q23" s="10">
        <f>INDEX(DriversGams!$A$5:$AN$23,MATCH(Drivers!$A23,DriversGams!$A$5:$A$23,0),MATCH(Drivers!Q$5,DriversGams!$A$5:$AN$5,0))</f>
        <v>56.4</v>
      </c>
      <c r="R23" s="10">
        <f>INDEX(DriversGams!$A$5:$AN$23,MATCH(Drivers!$A23,DriversGams!$A$5:$A$23,0),MATCH(Drivers!R$5,DriversGams!$A$5:$AN$5,0))</f>
        <v>53.36</v>
      </c>
      <c r="S23" s="10">
        <f>INDEX(DriversGams!$A$5:$AN$23,MATCH(Drivers!$A23,DriversGams!$A$5:$A$23,0),MATCH(Drivers!S$5,DriversGams!$A$5:$AN$5,0))</f>
        <v>50.36</v>
      </c>
      <c r="T23" s="10">
        <f>INDEX(DriversGams!$A$5:$AN$23,MATCH(Drivers!$A23,DriversGams!$A$5:$A$23,0),MATCH(Drivers!T$5,DriversGams!$A$5:$AN$5,0))</f>
        <v>46.96</v>
      </c>
      <c r="U23" s="10">
        <f>INDEX(DriversGams!$A$5:$AN$23,MATCH(Drivers!$A23,DriversGams!$A$5:$A$23,0),MATCH(Drivers!U$5,DriversGams!$A$5:$AN$5,0))</f>
        <v>43.51</v>
      </c>
      <c r="V23" s="10">
        <f>INDEX(DriversGams!$A$5:$AN$23,MATCH(Drivers!$A23,DriversGams!$A$5:$A$23,0),MATCH(Drivers!V$5,DriversGams!$A$5:$AN$5,0))</f>
        <v>43.76</v>
      </c>
      <c r="W23" s="10">
        <f>INDEX(DriversGams!$A$5:$AN$23,MATCH(Drivers!$A23,DriversGams!$A$5:$A$23,0),MATCH(Drivers!W$5,DriversGams!$A$5:$AN$5,0))</f>
        <v>42.68</v>
      </c>
      <c r="X23" s="10">
        <f>INDEX(DriversGams!$A$5:$AN$23,MATCH(Drivers!$A23,DriversGams!$A$5:$A$23,0),MATCH(Drivers!X$5,DriversGams!$A$5:$AN$5,0))</f>
        <v>42.31</v>
      </c>
      <c r="Y23" s="10">
        <f>INDEX(DriversGams!$A$5:$AN$23,MATCH(Drivers!$A23,DriversGams!$A$5:$A$23,0),MATCH(Drivers!Y$5,DriversGams!$A$5:$AN$5,0))</f>
        <v>41.94</v>
      </c>
      <c r="Z23" s="10">
        <f>INDEX(DriversGams!$A$5:$AN$23,MATCH(Drivers!$A23,DriversGams!$A$5:$A$23,0),MATCH(Drivers!Z$5,DriversGams!$A$5:$AN$5,0))</f>
        <v>41.15</v>
      </c>
      <c r="AA23" s="10">
        <f>INDEX(DriversGams!$A$5:$AN$23,MATCH(Drivers!$A23,DriversGams!$A$5:$A$23,0),MATCH(Drivers!AA$5,DriversGams!$A$5:$AN$5,0))</f>
        <v>39.86</v>
      </c>
      <c r="AB23" s="10">
        <f>INDEX(DriversGams!$A$5:$AN$23,MATCH(Drivers!$A23,DriversGams!$A$5:$A$23,0),MATCH(Drivers!AB$5,DriversGams!$A$5:$AN$5,0))</f>
        <v>38.57</v>
      </c>
      <c r="AC23" s="10">
        <f>INDEX(DriversGams!$A$5:$AN$23,MATCH(Drivers!$A23,DriversGams!$A$5:$A$23,0),MATCH(Drivers!AC$5,DriversGams!$A$5:$AN$5,0))</f>
        <v>37.28</v>
      </c>
      <c r="AD23" s="10">
        <f>INDEX(DriversGams!$A$5:$AN$23,MATCH(Drivers!$A23,DriversGams!$A$5:$A$23,0),MATCH(Drivers!AD$5,DriversGams!$A$5:$AN$5,0))</f>
        <v>36</v>
      </c>
      <c r="AE23" s="10">
        <f>INDEX(DriversGams!$A$5:$AN$23,MATCH(Drivers!$A23,DriversGams!$A$5:$A$23,0),MATCH(Drivers!AE$5,DriversGams!$A$5:$AN$5,0))</f>
        <v>34.71</v>
      </c>
      <c r="AF23" s="10">
        <f>INDEX(DriversGams!$A$5:$AN$23,MATCH(Drivers!$A23,DriversGams!$A$5:$A$23,0),MATCH(Drivers!AF$5,DriversGams!$A$5:$AN$5,0))</f>
        <v>35.450000000000003</v>
      </c>
      <c r="AG23" s="10">
        <f>INDEX(DriversGams!$A$5:$AN$23,MATCH(Drivers!$A23,DriversGams!$A$5:$A$23,0),MATCH(Drivers!AG$5,DriversGams!$A$5:$AN$5,0))</f>
        <v>36.93</v>
      </c>
      <c r="AH23" s="150"/>
      <c r="AI23" s="150"/>
      <c r="AJ23" s="150"/>
      <c r="AK23" s="150"/>
      <c r="AL23" s="150"/>
      <c r="AM23" s="150"/>
    </row>
    <row r="24" spans="1:41" s="225" customFormat="1">
      <c r="A24" s="158" t="s">
        <v>550</v>
      </c>
      <c r="B24" s="225">
        <f t="shared" si="2"/>
        <v>18</v>
      </c>
      <c r="C24" s="10">
        <f>INDEX(DriversGams!$A$5:$AN$23,MATCH(Drivers!$A24,DriversGams!$A$5:$A$23,0),MATCH(Drivers!C$5,DriversGams!$A$5:$AN$5,0))</f>
        <v>84.25</v>
      </c>
      <c r="D24" s="10">
        <f>INDEX(DriversGams!$A$5:$AN$23,MATCH(Drivers!$A24,DriversGams!$A$5:$A$23,0),MATCH(Drivers!D$5,DriversGams!$A$5:$AN$5,0))</f>
        <v>83.73</v>
      </c>
      <c r="E24" s="10">
        <f>INDEX(DriversGams!$A$5:$AN$23,MATCH(Drivers!$A24,DriversGams!$A$5:$A$23,0),MATCH(Drivers!E$5,DriversGams!$A$5:$AN$5,0))</f>
        <v>83.25</v>
      </c>
      <c r="F24" s="10">
        <f>INDEX(DriversGams!$A$5:$AN$23,MATCH(Drivers!$A24,DriversGams!$A$5:$A$23,0),MATCH(Drivers!F$5,DriversGams!$A$5:$AN$5,0))</f>
        <v>82.69</v>
      </c>
      <c r="G24" s="10">
        <f>INDEX(DriversGams!$A$5:$AN$23,MATCH(Drivers!$A24,DriversGams!$A$5:$A$23,0),MATCH(Drivers!G$5,DriversGams!$A$5:$AN$5,0))</f>
        <v>81.209999999999994</v>
      </c>
      <c r="H24" s="10">
        <f>INDEX(DriversGams!$A$5:$AN$23,MATCH(Drivers!$A24,DriversGams!$A$5:$A$23,0),MATCH(Drivers!H$5,DriversGams!$A$5:$AN$5,0))</f>
        <v>80.83</v>
      </c>
      <c r="I24" s="10">
        <f>INDEX(DriversGams!$A$5:$AN$23,MATCH(Drivers!$A24,DriversGams!$A$5:$A$23,0),MATCH(Drivers!I$5,DriversGams!$A$5:$AN$5,0))</f>
        <v>80.180000000000007</v>
      </c>
      <c r="J24" s="10">
        <f>INDEX(DriversGams!$A$5:$AN$23,MATCH(Drivers!$A24,DriversGams!$A$5:$A$23,0),MATCH(Drivers!J$5,DriversGams!$A$5:$AN$5,0))</f>
        <v>78.209999999999994</v>
      </c>
      <c r="K24" s="10">
        <f>INDEX(DriversGams!$A$5:$AN$23,MATCH(Drivers!$A24,DriversGams!$A$5:$A$23,0),MATCH(Drivers!K$5,DriversGams!$A$5:$AN$5,0))</f>
        <v>76.040000000000006</v>
      </c>
      <c r="L24" s="10">
        <f>INDEX(DriversGams!$A$5:$AN$23,MATCH(Drivers!$A24,DriversGams!$A$5:$A$23,0),MATCH(Drivers!L$5,DriversGams!$A$5:$AN$5,0))</f>
        <v>77.260000000000005</v>
      </c>
      <c r="M24" s="10">
        <f>INDEX(DriversGams!$A$5:$AN$23,MATCH(Drivers!$A24,DriversGams!$A$5:$A$23,0),MATCH(Drivers!M$5,DriversGams!$A$5:$AN$5,0))</f>
        <v>76.540000000000006</v>
      </c>
      <c r="N24" s="10">
        <f>INDEX(DriversGams!$A$5:$AN$23,MATCH(Drivers!$A24,DriversGams!$A$5:$A$23,0),MATCH(Drivers!N$5,DriversGams!$A$5:$AN$5,0))</f>
        <v>77.84</v>
      </c>
      <c r="O24" s="10">
        <f>INDEX(DriversGams!$A$5:$AN$23,MATCH(Drivers!$A24,DriversGams!$A$5:$A$23,0),MATCH(Drivers!O$5,DriversGams!$A$5:$AN$5,0))</f>
        <v>78.83</v>
      </c>
      <c r="P24" s="10">
        <f>INDEX(DriversGams!$A$5:$AN$23,MATCH(Drivers!$A24,DriversGams!$A$5:$A$23,0),MATCH(Drivers!P$5,DriversGams!$A$5:$AN$5,0))</f>
        <v>79.89</v>
      </c>
      <c r="Q24" s="10">
        <f>INDEX(DriversGams!$A$5:$AN$23,MATCH(Drivers!$A24,DriversGams!$A$5:$A$23,0),MATCH(Drivers!Q$5,DriversGams!$A$5:$AN$5,0))</f>
        <v>81.33</v>
      </c>
      <c r="R24" s="10">
        <f>INDEX(DriversGams!$A$5:$AN$23,MATCH(Drivers!$A24,DriversGams!$A$5:$A$23,0),MATCH(Drivers!R$5,DriversGams!$A$5:$AN$5,0))</f>
        <v>83.16</v>
      </c>
      <c r="S24" s="10">
        <f>INDEX(DriversGams!$A$5:$AN$23,MATCH(Drivers!$A24,DriversGams!$A$5:$A$23,0),MATCH(Drivers!S$5,DriversGams!$A$5:$AN$5,0))</f>
        <v>84.74</v>
      </c>
      <c r="T24" s="10">
        <f>INDEX(DriversGams!$A$5:$AN$23,MATCH(Drivers!$A24,DriversGams!$A$5:$A$23,0),MATCH(Drivers!T$5,DriversGams!$A$5:$AN$5,0))</f>
        <v>87.09</v>
      </c>
      <c r="U24" s="10">
        <f>INDEX(DriversGams!$A$5:$AN$23,MATCH(Drivers!$A24,DriversGams!$A$5:$A$23,0),MATCH(Drivers!U$5,DriversGams!$A$5:$AN$5,0))</f>
        <v>89.18</v>
      </c>
      <c r="V24" s="10">
        <f>INDEX(DriversGams!$A$5:$AN$23,MATCH(Drivers!$A24,DriversGams!$A$5:$A$23,0),MATCH(Drivers!V$5,DriversGams!$A$5:$AN$5,0))</f>
        <v>91.58</v>
      </c>
      <c r="W24" s="10">
        <f>INDEX(DriversGams!$A$5:$AN$23,MATCH(Drivers!$A24,DriversGams!$A$5:$A$23,0),MATCH(Drivers!W$5,DriversGams!$A$5:$AN$5,0))</f>
        <v>93.3</v>
      </c>
      <c r="X24" s="10">
        <f>INDEX(DriversGams!$A$5:$AN$23,MATCH(Drivers!$A24,DriversGams!$A$5:$A$23,0),MATCH(Drivers!X$5,DriversGams!$A$5:$AN$5,0))</f>
        <v>95.88</v>
      </c>
      <c r="Y24" s="10">
        <f>INDEX(DriversGams!$A$5:$AN$23,MATCH(Drivers!$A24,DriversGams!$A$5:$A$23,0),MATCH(Drivers!Y$5,DriversGams!$A$5:$AN$5,0))</f>
        <v>98.58</v>
      </c>
      <c r="Z24" s="10">
        <f>INDEX(DriversGams!$A$5:$AN$23,MATCH(Drivers!$A24,DriversGams!$A$5:$A$23,0),MATCH(Drivers!Z$5,DriversGams!$A$5:$AN$5,0))</f>
        <v>102.12</v>
      </c>
      <c r="AA24" s="10">
        <f>INDEX(DriversGams!$A$5:$AN$23,MATCH(Drivers!$A24,DriversGams!$A$5:$A$23,0),MATCH(Drivers!AA$5,DriversGams!$A$5:$AN$5,0))</f>
        <v>104.15</v>
      </c>
      <c r="AB24" s="10">
        <f>INDEX(DriversGams!$A$5:$AN$23,MATCH(Drivers!$A24,DriversGams!$A$5:$A$23,0),MATCH(Drivers!AB$5,DriversGams!$A$5:$AN$5,0))</f>
        <v>106.44</v>
      </c>
      <c r="AC24" s="10">
        <f>INDEX(DriversGams!$A$5:$AN$23,MATCH(Drivers!$A24,DriversGams!$A$5:$A$23,0),MATCH(Drivers!AC$5,DriversGams!$A$5:$AN$5,0))</f>
        <v>108.7</v>
      </c>
      <c r="AD24" s="10">
        <f>INDEX(DriversGams!$A$5:$AN$23,MATCH(Drivers!$A24,DriversGams!$A$5:$A$23,0),MATCH(Drivers!AD$5,DriversGams!$A$5:$AN$5,0))</f>
        <v>110.96</v>
      </c>
      <c r="AE24" s="10">
        <f>INDEX(DriversGams!$A$5:$AN$23,MATCH(Drivers!$A24,DriversGams!$A$5:$A$23,0),MATCH(Drivers!AE$5,DriversGams!$A$5:$AN$5,0))</f>
        <v>113.25</v>
      </c>
      <c r="AF24" s="10">
        <f>INDEX(DriversGams!$A$5:$AN$23,MATCH(Drivers!$A24,DriversGams!$A$5:$A$23,0),MATCH(Drivers!AF$5,DriversGams!$A$5:$AN$5,0))</f>
        <v>128.13</v>
      </c>
      <c r="AG24" s="10">
        <f>INDEX(DriversGams!$A$5:$AN$23,MATCH(Drivers!$A24,DriversGams!$A$5:$A$23,0),MATCH(Drivers!AG$5,DriversGams!$A$5:$AN$5,0))</f>
        <v>146.85</v>
      </c>
      <c r="AH24" s="150"/>
      <c r="AI24" s="150"/>
      <c r="AJ24" s="150"/>
      <c r="AK24" s="150"/>
      <c r="AL24" s="150"/>
      <c r="AM24" s="150"/>
    </row>
    <row r="25" spans="1:41">
      <c r="A25" s="5" t="s">
        <v>5</v>
      </c>
      <c r="B25" s="225">
        <f t="shared" si="2"/>
        <v>19</v>
      </c>
      <c r="C25" s="151">
        <f>SUM(C7:C24)</f>
        <v>2893.5800000000004</v>
      </c>
      <c r="D25" s="151">
        <f>SUM(D7:D24)</f>
        <v>2965.2699999999995</v>
      </c>
      <c r="E25" s="151">
        <f t="shared" ref="E25:AG25" si="4">SUM(E7:E24)</f>
        <v>3020.9599999999996</v>
      </c>
      <c r="F25" s="151">
        <f t="shared" si="4"/>
        <v>3059.4500000000003</v>
      </c>
      <c r="G25" s="151">
        <f t="shared" si="4"/>
        <v>3083.9200000000005</v>
      </c>
      <c r="H25" s="151">
        <f t="shared" si="4"/>
        <v>3120.5399999999995</v>
      </c>
      <c r="I25" s="151">
        <f t="shared" si="4"/>
        <v>3152.2400000000002</v>
      </c>
      <c r="J25" s="151">
        <f t="shared" si="4"/>
        <v>3179.29</v>
      </c>
      <c r="K25" s="151">
        <f t="shared" si="4"/>
        <v>2948.9199999999996</v>
      </c>
      <c r="L25" s="151">
        <f t="shared" si="4"/>
        <v>3014.3800000000006</v>
      </c>
      <c r="M25" s="151">
        <f t="shared" si="4"/>
        <v>3077.2000000000003</v>
      </c>
      <c r="N25" s="151">
        <f t="shared" si="4"/>
        <v>3140.61</v>
      </c>
      <c r="O25" s="151">
        <f t="shared" si="4"/>
        <v>3201.7699999999995</v>
      </c>
      <c r="P25" s="151">
        <f t="shared" si="4"/>
        <v>3265.5400000000009</v>
      </c>
      <c r="Q25" s="151">
        <f t="shared" si="4"/>
        <v>3341.2800000000007</v>
      </c>
      <c r="R25" s="151">
        <f t="shared" si="4"/>
        <v>3416.2799999999997</v>
      </c>
      <c r="S25" s="151">
        <f t="shared" si="4"/>
        <v>3494.8800000000006</v>
      </c>
      <c r="T25" s="151">
        <f t="shared" si="4"/>
        <v>3576.08</v>
      </c>
      <c r="U25" s="151">
        <f t="shared" si="4"/>
        <v>3660.12</v>
      </c>
      <c r="V25" s="151">
        <f t="shared" si="4"/>
        <v>3761.0299999999997</v>
      </c>
      <c r="W25" s="151">
        <f t="shared" si="4"/>
        <v>3857.2</v>
      </c>
      <c r="X25" s="151">
        <f t="shared" si="4"/>
        <v>3964.01</v>
      </c>
      <c r="Y25" s="151">
        <f t="shared" si="4"/>
        <v>4078.2199999999993</v>
      </c>
      <c r="Z25" s="151">
        <f t="shared" si="4"/>
        <v>4200.2899999999991</v>
      </c>
      <c r="AA25" s="151">
        <f t="shared" si="4"/>
        <v>4325.9699999999993</v>
      </c>
      <c r="AB25" s="151">
        <f t="shared" si="4"/>
        <v>4456.9999999999991</v>
      </c>
      <c r="AC25" s="151">
        <f t="shared" si="4"/>
        <v>4590.0299999999988</v>
      </c>
      <c r="AD25" s="151">
        <f t="shared" si="4"/>
        <v>4728.5300000000016</v>
      </c>
      <c r="AE25" s="151">
        <f t="shared" si="4"/>
        <v>4875.51</v>
      </c>
      <c r="AF25" s="151">
        <f t="shared" si="4"/>
        <v>5709.9300000000012</v>
      </c>
      <c r="AG25" s="151">
        <f t="shared" si="4"/>
        <v>6747.130000000001</v>
      </c>
      <c r="AH25" s="151"/>
      <c r="AI25" s="151"/>
      <c r="AJ25" s="151"/>
      <c r="AK25" s="151"/>
      <c r="AL25" s="151"/>
      <c r="AM25" s="151"/>
    </row>
    <row r="26" spans="1:41" s="34" customFormat="1">
      <c r="A26" s="295" t="s">
        <v>279</v>
      </c>
      <c r="B26" s="225">
        <f t="shared" si="2"/>
        <v>20</v>
      </c>
      <c r="C26" s="295"/>
      <c r="D26" s="296">
        <f>D25/C25-1</f>
        <v>2.4775537569377448E-2</v>
      </c>
      <c r="E26" s="296">
        <f t="shared" ref="E26:AE26" si="5">E25/D25-1</f>
        <v>1.8780751837100818E-2</v>
      </c>
      <c r="F26" s="296">
        <f t="shared" si="5"/>
        <v>1.2740982998782124E-2</v>
      </c>
      <c r="G26" s="296">
        <f t="shared" si="5"/>
        <v>7.9981696056481422E-3</v>
      </c>
      <c r="H26" s="296">
        <f t="shared" si="5"/>
        <v>1.1874497392928118E-2</v>
      </c>
      <c r="I26" s="296">
        <f t="shared" si="5"/>
        <v>1.0158498208643563E-2</v>
      </c>
      <c r="J26" s="296">
        <f t="shared" si="5"/>
        <v>8.581199401060724E-3</v>
      </c>
      <c r="K26" s="296">
        <f t="shared" si="5"/>
        <v>-7.2459574307471297E-2</v>
      </c>
      <c r="L26" s="296">
        <f t="shared" si="5"/>
        <v>2.2197957218236253E-2</v>
      </c>
      <c r="M26" s="296">
        <f t="shared" si="5"/>
        <v>2.0840106423211324E-2</v>
      </c>
      <c r="N26" s="296">
        <f t="shared" si="5"/>
        <v>2.0606395424411783E-2</v>
      </c>
      <c r="O26" s="296">
        <f t="shared" si="5"/>
        <v>1.9473923855556574E-2</v>
      </c>
      <c r="P26" s="296">
        <f t="shared" si="5"/>
        <v>1.9917108349444712E-2</v>
      </c>
      <c r="Q26" s="296">
        <f t="shared" si="5"/>
        <v>2.3193713750252476E-2</v>
      </c>
      <c r="R26" s="296">
        <f t="shared" si="5"/>
        <v>2.2446487573624108E-2</v>
      </c>
      <c r="S26" s="296">
        <f t="shared" si="5"/>
        <v>2.3007481822333364E-2</v>
      </c>
      <c r="T26" s="296">
        <f t="shared" si="5"/>
        <v>2.3233988005310513E-2</v>
      </c>
      <c r="U26" s="296">
        <f t="shared" si="5"/>
        <v>2.3500592827900846E-2</v>
      </c>
      <c r="V26" s="296">
        <f t="shared" si="5"/>
        <v>2.7570134312536076E-2</v>
      </c>
      <c r="W26" s="296">
        <f t="shared" si="5"/>
        <v>2.5570123077986562E-2</v>
      </c>
      <c r="X26" s="296">
        <f t="shared" si="5"/>
        <v>2.7691071243389098E-2</v>
      </c>
      <c r="Y26" s="296">
        <f t="shared" si="5"/>
        <v>2.8811733572821296E-2</v>
      </c>
      <c r="Z26" s="296">
        <f t="shared" si="5"/>
        <v>2.9932176292598145E-2</v>
      </c>
      <c r="AA26" s="296">
        <f t="shared" si="5"/>
        <v>2.9921743498663167E-2</v>
      </c>
      <c r="AB26" s="296">
        <f t="shared" si="5"/>
        <v>3.0289160581326247E-2</v>
      </c>
      <c r="AC26" s="296">
        <f t="shared" si="5"/>
        <v>2.9847431007403946E-2</v>
      </c>
      <c r="AD26" s="296">
        <f t="shared" si="5"/>
        <v>3.0174094722692946E-2</v>
      </c>
      <c r="AE26" s="296">
        <f t="shared" si="5"/>
        <v>3.1083656019946782E-2</v>
      </c>
      <c r="AF26" s="296">
        <f>(AF25/AE25)^(1/5)-1</f>
        <v>3.2100875651971617E-2</v>
      </c>
      <c r="AG26" s="296">
        <f>(AG25/AF25)^(1/5)-1</f>
        <v>3.3945527099760175E-2</v>
      </c>
      <c r="AH26" s="295"/>
      <c r="AI26" s="295"/>
      <c r="AJ26" s="295"/>
      <c r="AK26" s="295"/>
      <c r="AL26" s="295"/>
      <c r="AM26" s="295"/>
    </row>
    <row r="27" spans="1:41">
      <c r="A27" s="4" t="s">
        <v>647</v>
      </c>
      <c r="B27" s="225">
        <f t="shared" si="2"/>
        <v>21</v>
      </c>
      <c r="C27" s="150">
        <f>INDEX(DriversGams!$A$43:$AN$43,1,MATCH(Drivers!C$5,DriversGams!$A$42:$AN$42,0))/1000</f>
        <v>53.031999999999996</v>
      </c>
      <c r="D27" s="150">
        <f>INDEX(DriversGams!$A$43:$AN$43,1,MATCH(Drivers!D$5,DriversGams!$A$42:$AN$42,0))/1000</f>
        <v>53.514000000000003</v>
      </c>
      <c r="E27" s="150">
        <f>INDEX(DriversGams!$A$43:$AN$43,1,MATCH(Drivers!E$5,DriversGams!$A$42:$AN$42,0))/1000</f>
        <v>54</v>
      </c>
      <c r="F27" s="150">
        <f>INDEX(DriversGams!$A$43:$AN$43,1,MATCH(Drivers!F$5,DriversGams!$A$42:$AN$42,0))/1000</f>
        <v>54.49</v>
      </c>
      <c r="G27" s="150">
        <f>INDEX(DriversGams!$A$43:$AN$43,1,MATCH(Drivers!G$5,DriversGams!$A$42:$AN$42,0))/1000</f>
        <v>55.024999999999999</v>
      </c>
      <c r="H27" s="150">
        <f>INDEX(DriversGams!$A$43:$AN$43,1,MATCH(Drivers!H$5,DriversGams!$A$42:$AN$42,0))/1000</f>
        <v>55.558999999999997</v>
      </c>
      <c r="I27" s="150">
        <f>INDEX(DriversGams!$A$43:$AN$43,1,MATCH(Drivers!I$5,DriversGams!$A$42:$AN$42,0))/1000</f>
        <v>56.094000000000001</v>
      </c>
      <c r="J27" s="150">
        <f>INDEX(DriversGams!$A$43:$AN$43,1,MATCH(Drivers!J$5,DriversGams!$A$42:$AN$42,0))/1000</f>
        <v>56.628</v>
      </c>
      <c r="K27" s="150">
        <f>INDEX(DriversGams!$A$43:$AN$43,1,MATCH(Drivers!K$5,DriversGams!$A$42:$AN$42,0))/1000</f>
        <v>57.162999999999997</v>
      </c>
      <c r="L27" s="150">
        <f>INDEX(DriversGams!$A$43:$AN$43,1,MATCH(Drivers!L$5,DriversGams!$A$42:$AN$42,0))/1000</f>
        <v>57.704999999999998</v>
      </c>
      <c r="M27" s="150">
        <f>INDEX(DriversGams!$A$43:$AN$43,1,MATCH(Drivers!M$5,DriversGams!$A$42:$AN$42,0))/1000</f>
        <v>58.246000000000002</v>
      </c>
      <c r="N27" s="150">
        <f>INDEX(DriversGams!$A$43:$AN$43,1,MATCH(Drivers!N$5,DriversGams!$A$42:$AN$42,0))/1000</f>
        <v>58.787999999999997</v>
      </c>
      <c r="O27" s="150">
        <f>INDEX(DriversGams!$A$43:$AN$43,1,MATCH(Drivers!O$5,DriversGams!$A$42:$AN$42,0))/1000</f>
        <v>59.33</v>
      </c>
      <c r="P27" s="150">
        <f>INDEX(DriversGams!$A$43:$AN$43,1,MATCH(Drivers!P$5,DriversGams!$A$42:$AN$42,0))/1000</f>
        <v>59.872</v>
      </c>
      <c r="Q27" s="150">
        <f>INDEX(DriversGams!$A$43:$AN$43,1,MATCH(Drivers!Q$5,DriversGams!$A$42:$AN$42,0))/1000</f>
        <v>60.459000000000003</v>
      </c>
      <c r="R27" s="150">
        <f>INDEX(DriversGams!$A$43:$AN$43,1,MATCH(Drivers!R$5,DriversGams!$A$42:$AN$42,0))/1000</f>
        <v>61.045000000000002</v>
      </c>
      <c r="S27" s="150">
        <f>INDEX(DriversGams!$A$43:$AN$43,1,MATCH(Drivers!S$5,DriversGams!$A$42:$AN$42,0))/1000</f>
        <v>61.631999999999998</v>
      </c>
      <c r="T27" s="150">
        <f>INDEX(DriversGams!$A$43:$AN$43,1,MATCH(Drivers!T$5,DriversGams!$A$42:$AN$42,0))/1000</f>
        <v>62.219000000000001</v>
      </c>
      <c r="U27" s="150">
        <f>INDEX(DriversGams!$A$43:$AN$43,1,MATCH(Drivers!U$5,DriversGams!$A$42:$AN$42,0))/1000</f>
        <v>62.805999999999997</v>
      </c>
      <c r="V27" s="150">
        <f>INDEX(DriversGams!$A$43:$AN$43,1,MATCH(Drivers!V$5,DriversGams!$A$42:$AN$42,0))/1000</f>
        <v>63.372999999999998</v>
      </c>
      <c r="W27" s="150">
        <f>INDEX(DriversGams!$A$43:$AN$43,1,MATCH(Drivers!W$5,DriversGams!$A$42:$AN$42,0))/1000</f>
        <v>63.94</v>
      </c>
      <c r="X27" s="150">
        <f>INDEX(DriversGams!$A$43:$AN$43,1,MATCH(Drivers!X$5,DriversGams!$A$42:$AN$42,0))/1000</f>
        <v>64.507000000000005</v>
      </c>
      <c r="Y27" s="150">
        <f>INDEX(DriversGams!$A$43:$AN$43,1,MATCH(Drivers!Y$5,DriversGams!$A$42:$AN$42,0))/1000</f>
        <v>65.073999999999998</v>
      </c>
      <c r="Z27" s="150">
        <f>INDEX(DriversGams!$A$43:$AN$43,1,MATCH(Drivers!Z$5,DriversGams!$A$42:$AN$42,0))/1000</f>
        <v>65.641000000000005</v>
      </c>
      <c r="AA27" s="150">
        <f>INDEX(DriversGams!$A$43:$AN$43,1,MATCH(Drivers!AA$5,DriversGams!$A$42:$AN$42,0))/1000</f>
        <v>66.230999999999995</v>
      </c>
      <c r="AB27" s="150">
        <f>INDEX(DriversGams!$A$43:$AN$43,1,MATCH(Drivers!AB$5,DriversGams!$A$42:$AN$42,0))/1000</f>
        <v>66.819999999999993</v>
      </c>
      <c r="AC27" s="150">
        <f>INDEX(DriversGams!$A$43:$AN$43,1,MATCH(Drivers!AC$5,DriversGams!$A$42:$AN$42,0))/1000</f>
        <v>67.409000000000006</v>
      </c>
      <c r="AD27" s="150">
        <f>INDEX(DriversGams!$A$43:$AN$43,1,MATCH(Drivers!AD$5,DriversGams!$A$42:$AN$42,0))/1000</f>
        <v>67.998999999999995</v>
      </c>
      <c r="AE27" s="150">
        <f>INDEX(DriversGams!$A$43:$AN$43,1,MATCH(Drivers!AE$5,DriversGams!$A$42:$AN$42,0))/1000</f>
        <v>68.587999999999994</v>
      </c>
      <c r="AF27" s="150">
        <f>INDEX(DriversGams!$A$43:$AN$43,1,MATCH(Drivers!AF$5,DriversGams!$A$42:$AN$42,0))/1000</f>
        <v>71.950999999999993</v>
      </c>
      <c r="AG27" s="150">
        <f>INDEX(DriversGams!$A$43:$AN$43,1,MATCH(Drivers!AG$5,DriversGams!$A$42:$AN$42,0))/1000</f>
        <v>75.195999999999998</v>
      </c>
      <c r="AH27" s="150"/>
      <c r="AI27" s="150"/>
      <c r="AJ27" s="150"/>
      <c r="AK27" s="150"/>
      <c r="AL27" s="150"/>
      <c r="AM27" s="150"/>
    </row>
    <row r="28" spans="1:41">
      <c r="A28" t="s">
        <v>397</v>
      </c>
      <c r="B28" s="225">
        <f t="shared" si="2"/>
        <v>22</v>
      </c>
      <c r="C28" s="24">
        <f>INDEX(DriversGams!$B61:$AN61,1,MATCH(Drivers!C$5,DriversGams!$B$60:$AN$60,0))</f>
        <v>0.50003199863472492</v>
      </c>
      <c r="D28" s="24">
        <f>INDEX(DriversGams!$B61:$AN61,1,MATCH(Drivers!D$5,DriversGams!$B$60:$AN$60,0))</f>
        <v>0.49674335943460585</v>
      </c>
      <c r="E28" s="24">
        <f>INDEX(DriversGams!$B61:$AN61,1,MATCH(Drivers!E$5,DriversGams!$B$60:$AN$60,0))</f>
        <v>0.48822868689454441</v>
      </c>
      <c r="F28" s="24">
        <f>INDEX(DriversGams!$B61:$AN61,1,MATCH(Drivers!F$5,DriversGams!$B$60:$AN$60,0))</f>
        <v>0.48147500627885365</v>
      </c>
      <c r="G28" s="24">
        <f>INDEX(DriversGams!$B61:$AN61,1,MATCH(Drivers!G$5,DriversGams!$B$60:$AN$60,0))</f>
        <v>0.47737656478533347</v>
      </c>
      <c r="H28" s="24">
        <f>INDEX(DriversGams!$B61:$AN61,1,MATCH(Drivers!H$5,DriversGams!$B$60:$AN$60,0))</f>
        <v>0.47023794558911891</v>
      </c>
      <c r="I28" s="24">
        <f>INDEX(DriversGams!$B61:$AN61,1,MATCH(Drivers!I$5,DriversGams!$B$60:$AN$60,0))</f>
        <v>0.46353394236211087</v>
      </c>
      <c r="J28" s="24">
        <f>INDEX(DriversGams!$B61:$AN61,1,MATCH(Drivers!J$5,DriversGams!$B$60:$AN$60,0))</f>
        <v>0.46108769196199162</v>
      </c>
      <c r="K28" s="24">
        <f>INDEX(DriversGams!$B61:$AN61,1,MATCH(Drivers!K$5,DriversGams!$B$60:$AN$60,0))</f>
        <v>0.47398769619141334</v>
      </c>
      <c r="L28" s="24">
        <f>INDEX(DriversGams!$B61:$AN61,1,MATCH(Drivers!L$5,DriversGams!$B$60:$AN$60,0))</f>
        <v>0.48802294893321585</v>
      </c>
      <c r="M28" s="24">
        <f>INDEX(DriversGams!$B61:$AN61,1,MATCH(Drivers!M$5,DriversGams!$B$60:$AN$60,0))</f>
        <v>0.48160744524963783</v>
      </c>
      <c r="N28" s="24">
        <f>INDEX(DriversGams!$B61:$AN61,1,MATCH(Drivers!N$5,DriversGams!$B$60:$AN$60,0))</f>
        <v>0.47529731801684205</v>
      </c>
      <c r="O28" s="24">
        <f>INDEX(DriversGams!$B61:$AN61,1,MATCH(Drivers!O$5,DriversGams!$B$60:$AN$60,0))</f>
        <v>0.4689535605229086</v>
      </c>
      <c r="P28" s="24">
        <f>INDEX(DriversGams!$B61:$AN61,1,MATCH(Drivers!P$5,DriversGams!$B$60:$AN$60,0))</f>
        <v>0.46306118439391969</v>
      </c>
      <c r="Q28" s="24">
        <f>INDEX(DriversGams!$B61:$AN61,1,MATCH(Drivers!Q$5,DriversGams!$B$60:$AN$60,0))</f>
        <v>0.4555068405538002</v>
      </c>
      <c r="R28" s="24">
        <f>INDEX(DriversGams!$B61:$AN61,1,MATCH(Drivers!R$5,DriversGams!$B$60:$AN$60,0))</f>
        <v>0.44739940977174142</v>
      </c>
      <c r="S28" s="24">
        <f>INDEX(DriversGams!$B61:$AN61,1,MATCH(Drivers!S$5,DriversGams!$B$60:$AN$60,0))</f>
        <v>0.43930961502928784</v>
      </c>
      <c r="T28" s="24">
        <f>INDEX(DriversGams!$B61:$AN61,1,MATCH(Drivers!T$5,DriversGams!$B$60:$AN$60,0))</f>
        <v>0.43052643049427919</v>
      </c>
      <c r="U28" s="24">
        <f>INDEX(DriversGams!$B61:$AN61,1,MATCH(Drivers!U$5,DriversGams!$B$60:$AN$60,0))</f>
        <v>0.42216842844292707</v>
      </c>
      <c r="V28" s="24">
        <f>INDEX(DriversGams!$B61:$AN61,1,MATCH(Drivers!V$5,DriversGams!$B$60:$AN$60,0))</f>
        <v>0.4135496006513194</v>
      </c>
      <c r="W28" s="24">
        <f>INDEX(DriversGams!$B61:$AN61,1,MATCH(Drivers!W$5,DriversGams!$B$60:$AN$60,0))</f>
        <v>0.40521721442606407</v>
      </c>
      <c r="X28" s="24">
        <f>INDEX(DriversGams!$B61:$AN61,1,MATCH(Drivers!X$5,DriversGams!$B$60:$AN$60,0))</f>
        <v>0.39683874390439688</v>
      </c>
      <c r="Y28" s="24">
        <f>INDEX(DriversGams!$B61:$AN61,1,MATCH(Drivers!Y$5,DriversGams!$B$60:$AN$60,0))</f>
        <v>0.38789767317654972</v>
      </c>
      <c r="Z28" s="24">
        <f>INDEX(DriversGams!$B61:$AN61,1,MATCH(Drivers!Z$5,DriversGams!$B$60:$AN$60,0))</f>
        <v>0.37860953755372506</v>
      </c>
      <c r="AA28" s="24">
        <f>INDEX(DriversGams!$B61:$AN61,1,MATCH(Drivers!AA$5,DriversGams!$B$60:$AN$60,0))</f>
        <v>0.3694539819598327</v>
      </c>
      <c r="AB28" s="24">
        <f>INDEX(DriversGams!$B61:$AN61,1,MATCH(Drivers!AB$5,DriversGams!$B$60:$AN$60,0))</f>
        <v>0.36068644391934845</v>
      </c>
      <c r="AC28" s="24">
        <f>INDEX(DriversGams!$B61:$AN61,1,MATCH(Drivers!AC$5,DriversGams!$B$60:$AN$60,0))</f>
        <v>0.35227821304680329</v>
      </c>
      <c r="AD28" s="24">
        <f>INDEX(DriversGams!$B61:$AN61,1,MATCH(Drivers!AD$5,DriversGams!$B$60:$AN$60,0))</f>
        <v>0.34415250138874304</v>
      </c>
      <c r="AE28" s="24">
        <f>INDEX(DriversGams!$B61:$AN61,1,MATCH(Drivers!AE$5,DriversGams!$B$60:$AN$60,0))</f>
        <v>0.33605734555939903</v>
      </c>
      <c r="AF28" s="24">
        <f>INDEX(DriversGams!$B61:$AN61,1,MATCH(Drivers!AF$5,DriversGams!$B$60:$AN$60,0))</f>
        <v>0.29595650938485324</v>
      </c>
      <c r="AG28" s="24">
        <f>INDEX(DriversGams!$B61:$AN61,1,MATCH(Drivers!AG$5,DriversGams!$B$60:$AN$60,0))</f>
        <v>0.25945257650105208</v>
      </c>
      <c r="AH28" s="150"/>
      <c r="AI28" s="150"/>
      <c r="AJ28" s="150"/>
      <c r="AK28" s="150"/>
      <c r="AL28" s="150"/>
      <c r="AM28" s="150"/>
    </row>
    <row r="29" spans="1:41">
      <c r="A29" s="4" t="s">
        <v>398</v>
      </c>
      <c r="B29" s="225">
        <f t="shared" si="2"/>
        <v>23</v>
      </c>
      <c r="C29" s="24">
        <f>INDEX(DriversGams!$B62:$AN62,1,MATCH(Drivers!C$5,DriversGams!$B$60:$AN$60,0))</f>
        <v>0.30001919918083497</v>
      </c>
      <c r="D29" s="24">
        <f>INDEX(DriversGams!$B62:$AN62,1,MATCH(Drivers!D$5,DriversGams!$B$60:$AN$60,0))</f>
        <v>0.29644362454654938</v>
      </c>
      <c r="E29" s="24">
        <f>INDEX(DriversGams!$B62:$AN62,1,MATCH(Drivers!E$5,DriversGams!$B$60:$AN$60,0))</f>
        <v>0.29989890368726985</v>
      </c>
      <c r="F29" s="24">
        <f>INDEX(DriversGams!$B62:$AN62,1,MATCH(Drivers!F$5,DriversGams!$B$60:$AN$60,0))</f>
        <v>0.30319595185227072</v>
      </c>
      <c r="G29" s="24">
        <f>INDEX(DriversGams!$B62:$AN62,1,MATCH(Drivers!G$5,DriversGams!$B$60:$AN$60,0))</f>
        <v>0.30522800836475233</v>
      </c>
      <c r="H29" s="24">
        <f>INDEX(DriversGams!$B62:$AN62,1,MATCH(Drivers!H$5,DriversGams!$B$60:$AN$60,0))</f>
        <v>0.30605482173653453</v>
      </c>
      <c r="I29" s="24">
        <f>INDEX(DriversGams!$B62:$AN62,1,MATCH(Drivers!I$5,DriversGams!$B$60:$AN$60,0))</f>
        <v>0.30932373575545163</v>
      </c>
      <c r="J29" s="24">
        <f>INDEX(DriversGams!$B62:$AN62,1,MATCH(Drivers!J$5,DriversGams!$B$60:$AN$60,0))</f>
        <v>0.31228368417755731</v>
      </c>
      <c r="K29" s="24">
        <f>INDEX(DriversGams!$B62:$AN62,1,MATCH(Drivers!K$5,DriversGams!$B$60:$AN$60,0))</f>
        <v>0.32375163521226069</v>
      </c>
      <c r="L29" s="24">
        <f>INDEX(DriversGams!$B62:$AN62,1,MATCH(Drivers!L$5,DriversGams!$B$60:$AN$60,0))</f>
        <v>0.30681637697278535</v>
      </c>
      <c r="M29" s="24">
        <f>INDEX(DriversGams!$B62:$AN62,1,MATCH(Drivers!M$5,DriversGams!$B$60:$AN$60,0))</f>
        <v>0.30899051207902728</v>
      </c>
      <c r="N29" s="24">
        <f>INDEX(DriversGams!$B62:$AN62,1,MATCH(Drivers!N$5,DriversGams!$B$60:$AN$60,0))</f>
        <v>0.31073061540438202</v>
      </c>
      <c r="O29" s="24">
        <f>INDEX(DriversGams!$B62:$AN62,1,MATCH(Drivers!O$5,DriversGams!$B$60:$AN$60,0))</f>
        <v>0.31288111144304859</v>
      </c>
      <c r="P29" s="24">
        <f>INDEX(DriversGams!$B62:$AN62,1,MATCH(Drivers!P$5,DriversGams!$B$60:$AN$60,0))</f>
        <v>0.31491255593475925</v>
      </c>
      <c r="Q29" s="24">
        <f>INDEX(DriversGams!$B62:$AN62,1,MATCH(Drivers!Q$5,DriversGams!$B$60:$AN$60,0))</f>
        <v>0.31628939074725432</v>
      </c>
      <c r="R29" s="24">
        <f>INDEX(DriversGams!$B62:$AN62,1,MATCH(Drivers!R$5,DriversGams!$B$60:$AN$60,0))</f>
        <v>0.31847593645969752</v>
      </c>
      <c r="S29" s="24">
        <f>INDEX(DriversGams!$B62:$AN62,1,MATCH(Drivers!S$5,DriversGams!$B$60:$AN$60,0))</f>
        <v>0.32044792827503243</v>
      </c>
      <c r="T29" s="24">
        <f>INDEX(DriversGams!$B62:$AN62,1,MATCH(Drivers!T$5,DriversGams!$B$60:$AN$60,0))</f>
        <v>0.32217124766279381</v>
      </c>
      <c r="U29" s="24">
        <f>INDEX(DriversGams!$B62:$AN62,1,MATCH(Drivers!U$5,DriversGams!$B$60:$AN$60,0))</f>
        <v>0.32472047549482769</v>
      </c>
      <c r="V29" s="24">
        <f>INDEX(DriversGams!$B62:$AN62,1,MATCH(Drivers!V$5,DriversGams!$B$60:$AN$60,0))</f>
        <v>0.32634303861147274</v>
      </c>
      <c r="W29" s="24">
        <f>INDEX(DriversGams!$B62:$AN62,1,MATCH(Drivers!W$5,DriversGams!$B$60:$AN$60,0))</f>
        <v>0.32889986401097365</v>
      </c>
      <c r="X29" s="24">
        <f>INDEX(DriversGams!$B62:$AN62,1,MATCH(Drivers!X$5,DriversGams!$B$60:$AN$60,0))</f>
        <v>0.33081335717795152</v>
      </c>
      <c r="Y29" s="24">
        <f>INDEX(DriversGams!$B62:$AN62,1,MATCH(Drivers!Y$5,DriversGams!$B$60:$AN$60,0))</f>
        <v>0.33290577410474198</v>
      </c>
      <c r="Z29" s="24">
        <f>INDEX(DriversGams!$B62:$AN62,1,MATCH(Drivers!Z$5,DriversGams!$B$60:$AN$60,0))</f>
        <v>0.3350106446536113</v>
      </c>
      <c r="AA29" s="24">
        <f>INDEX(DriversGams!$B62:$AN62,1,MATCH(Drivers!AA$5,DriversGams!$B$60:$AN$60,0))</f>
        <v>0.33736398356282593</v>
      </c>
      <c r="AB29" s="24">
        <f>INDEX(DriversGams!$B62:$AN62,1,MATCH(Drivers!AB$5,DriversGams!$B$60:$AN$60,0))</f>
        <v>0.33948242167787424</v>
      </c>
      <c r="AC29" s="24">
        <f>INDEX(DriversGams!$B62:$AN62,1,MATCH(Drivers!AC$5,DriversGams!$B$60:$AN$60,0))</f>
        <v>0.34168685597597181</v>
      </c>
      <c r="AD29" s="24">
        <f>INDEX(DriversGams!$B62:$AN62,1,MATCH(Drivers!AD$5,DriversGams!$B$60:$AN$60,0))</f>
        <v>0.34372210155141747</v>
      </c>
      <c r="AE29" s="24">
        <f>INDEX(DriversGams!$B62:$AN62,1,MATCH(Drivers!AE$5,DriversGams!$B$60:$AN$60,0))</f>
        <v>0.34569570470434441</v>
      </c>
      <c r="AF29" s="24">
        <f>INDEX(DriversGams!$B62:$AN62,1,MATCH(Drivers!AF$5,DriversGams!$B$60:$AN$60,0))</f>
        <v>0.35353162196051169</v>
      </c>
      <c r="AG29" s="24">
        <f>INDEX(DriversGams!$B62:$AN62,1,MATCH(Drivers!AG$5,DriversGams!$B$60:$AN$60,0))</f>
        <v>0.36180135191051532</v>
      </c>
      <c r="AH29" s="150"/>
      <c r="AI29" s="150"/>
      <c r="AJ29" s="150"/>
      <c r="AK29" s="150"/>
      <c r="AL29" s="150"/>
      <c r="AM29" s="150"/>
    </row>
    <row r="30" spans="1:41">
      <c r="A30" s="4" t="s">
        <v>399</v>
      </c>
      <c r="B30" s="225">
        <f t="shared" si="2"/>
        <v>24</v>
      </c>
      <c r="C30" s="24">
        <f>1-C29-C28</f>
        <v>0.19994880218444011</v>
      </c>
      <c r="D30" s="24">
        <f t="shared" ref="D30:AG30" si="6">1-D29-D28</f>
        <v>0.20681301601884478</v>
      </c>
      <c r="E30" s="24">
        <f t="shared" si="6"/>
        <v>0.21187240941818569</v>
      </c>
      <c r="F30" s="24">
        <f t="shared" si="6"/>
        <v>0.21532904186887569</v>
      </c>
      <c r="G30" s="24">
        <f t="shared" si="6"/>
        <v>0.21739542684991425</v>
      </c>
      <c r="H30" s="24">
        <f t="shared" si="6"/>
        <v>0.22370723267434656</v>
      </c>
      <c r="I30" s="24">
        <f t="shared" si="6"/>
        <v>0.22714232188243744</v>
      </c>
      <c r="J30" s="24">
        <f t="shared" si="6"/>
        <v>0.22662862386045102</v>
      </c>
      <c r="K30" s="24">
        <f t="shared" si="6"/>
        <v>0.20226066859632597</v>
      </c>
      <c r="L30" s="24">
        <f t="shared" si="6"/>
        <v>0.20516067409399874</v>
      </c>
      <c r="M30" s="24">
        <f t="shared" si="6"/>
        <v>0.20940204267133489</v>
      </c>
      <c r="N30" s="24">
        <f t="shared" si="6"/>
        <v>0.21397206657877588</v>
      </c>
      <c r="O30" s="24">
        <f t="shared" si="6"/>
        <v>0.21816532803404287</v>
      </c>
      <c r="P30" s="24">
        <f t="shared" si="6"/>
        <v>0.22202625967132111</v>
      </c>
      <c r="Q30" s="24">
        <f t="shared" si="6"/>
        <v>0.22820376869894543</v>
      </c>
      <c r="R30" s="24">
        <f t="shared" si="6"/>
        <v>0.23412465376856106</v>
      </c>
      <c r="S30" s="24">
        <f t="shared" si="6"/>
        <v>0.24024245669567973</v>
      </c>
      <c r="T30" s="24">
        <f t="shared" si="6"/>
        <v>0.247302321842927</v>
      </c>
      <c r="U30" s="24">
        <f t="shared" si="6"/>
        <v>0.2531110960622453</v>
      </c>
      <c r="V30" s="24">
        <f t="shared" si="6"/>
        <v>0.26010736073720786</v>
      </c>
      <c r="W30" s="24">
        <f t="shared" si="6"/>
        <v>0.26588292156296223</v>
      </c>
      <c r="X30" s="24">
        <f t="shared" si="6"/>
        <v>0.27234789891765165</v>
      </c>
      <c r="Y30" s="24">
        <f t="shared" si="6"/>
        <v>0.2791965527187083</v>
      </c>
      <c r="Z30" s="24">
        <f t="shared" si="6"/>
        <v>0.28637981779266364</v>
      </c>
      <c r="AA30" s="24">
        <f t="shared" si="6"/>
        <v>0.29318203447734137</v>
      </c>
      <c r="AB30" s="24">
        <f t="shared" si="6"/>
        <v>0.29983113440277731</v>
      </c>
      <c r="AC30" s="24">
        <f t="shared" si="6"/>
        <v>0.30603493097722489</v>
      </c>
      <c r="AD30" s="24">
        <f t="shared" si="6"/>
        <v>0.31212539705983949</v>
      </c>
      <c r="AE30" s="24">
        <f t="shared" si="6"/>
        <v>0.31824694973625656</v>
      </c>
      <c r="AF30" s="24">
        <f t="shared" si="6"/>
        <v>0.35051186865463507</v>
      </c>
      <c r="AG30" s="24">
        <f t="shared" si="6"/>
        <v>0.3787460715884326</v>
      </c>
      <c r="AH30" s="150"/>
      <c r="AI30" s="150"/>
      <c r="AJ30" s="150"/>
      <c r="AK30" s="150"/>
      <c r="AL30" s="150"/>
      <c r="AM30" s="150"/>
    </row>
    <row r="31" spans="1:41">
      <c r="A31" t="s">
        <v>400</v>
      </c>
      <c r="B31" s="225">
        <f t="shared" si="2"/>
        <v>25</v>
      </c>
      <c r="C31" s="10">
        <f>C28*C$27</f>
        <v>26.517696951596729</v>
      </c>
      <c r="D31" s="10">
        <f t="shared" ref="D31:AG33" si="7">D28*D$27</f>
        <v>26.582724136783497</v>
      </c>
      <c r="E31" s="10">
        <f t="shared" si="7"/>
        <v>26.3643490923054</v>
      </c>
      <c r="F31" s="10">
        <f t="shared" si="7"/>
        <v>26.235573092134736</v>
      </c>
      <c r="G31" s="10">
        <f t="shared" si="7"/>
        <v>26.267645477312975</v>
      </c>
      <c r="H31" s="10">
        <f t="shared" si="7"/>
        <v>26.125950018985858</v>
      </c>
      <c r="I31" s="10">
        <f t="shared" si="7"/>
        <v>26.001472962860248</v>
      </c>
      <c r="J31" s="10">
        <f t="shared" si="7"/>
        <v>26.11047382042366</v>
      </c>
      <c r="K31" s="10">
        <f t="shared" si="7"/>
        <v>27.09455867738976</v>
      </c>
      <c r="L31" s="10">
        <f t="shared" si="7"/>
        <v>28.161364268191221</v>
      </c>
      <c r="M31" s="10">
        <f t="shared" si="7"/>
        <v>28.051707256010406</v>
      </c>
      <c r="N31" s="10">
        <f t="shared" si="7"/>
        <v>27.941778731574107</v>
      </c>
      <c r="O31" s="10">
        <f t="shared" si="7"/>
        <v>27.823014745824167</v>
      </c>
      <c r="P31" s="10">
        <f t="shared" si="7"/>
        <v>27.724399232032759</v>
      </c>
      <c r="Q31" s="10">
        <f t="shared" si="7"/>
        <v>27.539488073042207</v>
      </c>
      <c r="R31" s="10">
        <f t="shared" si="7"/>
        <v>27.311496969515957</v>
      </c>
      <c r="S31" s="10">
        <f t="shared" si="7"/>
        <v>27.075530193485069</v>
      </c>
      <c r="T31" s="10">
        <f t="shared" si="7"/>
        <v>26.786923978923557</v>
      </c>
      <c r="U31" s="10">
        <f t="shared" si="7"/>
        <v>26.514710316786477</v>
      </c>
      <c r="V31" s="10">
        <f t="shared" si="7"/>
        <v>26.207878842076063</v>
      </c>
      <c r="W31" s="10">
        <f t="shared" si="7"/>
        <v>25.909588690402536</v>
      </c>
      <c r="X31" s="10">
        <f t="shared" si="7"/>
        <v>25.598876853040931</v>
      </c>
      <c r="Y31" s="10">
        <f t="shared" si="7"/>
        <v>25.242053184290796</v>
      </c>
      <c r="Z31" s="10">
        <f t="shared" si="7"/>
        <v>24.852308654564069</v>
      </c>
      <c r="AA31" s="10">
        <f t="shared" si="7"/>
        <v>24.469306679181678</v>
      </c>
      <c r="AB31" s="10">
        <f t="shared" si="7"/>
        <v>24.101068182690859</v>
      </c>
      <c r="AC31" s="10">
        <f t="shared" si="7"/>
        <v>23.746722063271964</v>
      </c>
      <c r="AD31" s="10">
        <f t="shared" si="7"/>
        <v>23.402025941933136</v>
      </c>
      <c r="AE31" s="10">
        <f t="shared" si="7"/>
        <v>23.049501217228059</v>
      </c>
      <c r="AF31" s="10">
        <f t="shared" si="7"/>
        <v>21.294366806749572</v>
      </c>
      <c r="AG31" s="10">
        <f t="shared" si="7"/>
        <v>19.509795942573113</v>
      </c>
      <c r="AH31" s="10"/>
      <c r="AI31" s="10"/>
      <c r="AJ31" s="10"/>
      <c r="AK31" s="10"/>
      <c r="AL31" s="10"/>
      <c r="AM31" s="10"/>
    </row>
    <row r="32" spans="1:41">
      <c r="A32" s="4" t="s">
        <v>401</v>
      </c>
      <c r="B32" s="225">
        <f t="shared" si="2"/>
        <v>26</v>
      </c>
      <c r="C32" s="10">
        <f t="shared" ref="C32:R33" si="8">C29*C$27</f>
        <v>15.910618170958038</v>
      </c>
      <c r="D32" s="10">
        <f t="shared" si="8"/>
        <v>15.863884123984045</v>
      </c>
      <c r="E32" s="10">
        <f t="shared" si="8"/>
        <v>16.194540799112573</v>
      </c>
      <c r="F32" s="10">
        <f t="shared" si="8"/>
        <v>16.521147416430232</v>
      </c>
      <c r="G32" s="10">
        <f t="shared" si="8"/>
        <v>16.795171160270495</v>
      </c>
      <c r="H32" s="10">
        <f t="shared" si="8"/>
        <v>17.004099840860121</v>
      </c>
      <c r="I32" s="10">
        <f t="shared" si="8"/>
        <v>17.351205633466304</v>
      </c>
      <c r="J32" s="10">
        <f t="shared" si="8"/>
        <v>17.684000467606715</v>
      </c>
      <c r="K32" s="10">
        <f t="shared" si="8"/>
        <v>18.506614723638457</v>
      </c>
      <c r="L32" s="10">
        <f t="shared" si="8"/>
        <v>17.704839033214579</v>
      </c>
      <c r="M32" s="10">
        <f t="shared" si="8"/>
        <v>17.997461366555022</v>
      </c>
      <c r="N32" s="10">
        <f t="shared" si="8"/>
        <v>18.267231418392807</v>
      </c>
      <c r="O32" s="10">
        <f t="shared" si="8"/>
        <v>18.56323634191607</v>
      </c>
      <c r="P32" s="10">
        <f t="shared" si="8"/>
        <v>18.854444548925905</v>
      </c>
      <c r="Q32" s="10">
        <f t="shared" si="8"/>
        <v>19.12254027518825</v>
      </c>
      <c r="R32" s="10">
        <f t="shared" si="8"/>
        <v>19.441363541182234</v>
      </c>
      <c r="S32" s="10">
        <f t="shared" si="7"/>
        <v>19.749846715446797</v>
      </c>
      <c r="T32" s="10">
        <f t="shared" si="7"/>
        <v>20.04517285833137</v>
      </c>
      <c r="U32" s="10">
        <f t="shared" si="7"/>
        <v>20.394394183928146</v>
      </c>
      <c r="V32" s="10">
        <f t="shared" si="7"/>
        <v>20.681337385924859</v>
      </c>
      <c r="W32" s="10">
        <f t="shared" si="7"/>
        <v>21.029857304861654</v>
      </c>
      <c r="X32" s="10">
        <f t="shared" si="7"/>
        <v>21.33977723147812</v>
      </c>
      <c r="Y32" s="10">
        <f t="shared" si="7"/>
        <v>21.663510344091979</v>
      </c>
      <c r="Z32" s="10">
        <f t="shared" si="7"/>
        <v>21.9904337257077</v>
      </c>
      <c r="AA32" s="10">
        <f t="shared" si="7"/>
        <v>22.343953995349523</v>
      </c>
      <c r="AB32" s="10">
        <f t="shared" si="7"/>
        <v>22.684215416515553</v>
      </c>
      <c r="AC32" s="10">
        <f t="shared" si="7"/>
        <v>23.032769274484288</v>
      </c>
      <c r="AD32" s="10">
        <f t="shared" si="7"/>
        <v>23.372759183394834</v>
      </c>
      <c r="AE32" s="10">
        <f t="shared" si="7"/>
        <v>23.710576994261572</v>
      </c>
      <c r="AF32" s="10">
        <f t="shared" si="7"/>
        <v>25.436953731680774</v>
      </c>
      <c r="AG32" s="10">
        <f t="shared" si="7"/>
        <v>27.206014458263109</v>
      </c>
      <c r="AH32" s="10"/>
      <c r="AI32" s="10"/>
      <c r="AJ32" s="10"/>
      <c r="AK32" s="10"/>
      <c r="AL32" s="10"/>
      <c r="AM32" s="10"/>
    </row>
    <row r="33" spans="1:39">
      <c r="A33" s="4" t="s">
        <v>402</v>
      </c>
      <c r="B33" s="225">
        <f t="shared" si="2"/>
        <v>27</v>
      </c>
      <c r="C33" s="10">
        <f t="shared" si="8"/>
        <v>10.603684877445227</v>
      </c>
      <c r="D33" s="10">
        <f t="shared" si="7"/>
        <v>11.067391739232461</v>
      </c>
      <c r="E33" s="10">
        <f t="shared" si="7"/>
        <v>11.441110108582027</v>
      </c>
      <c r="F33" s="10">
        <f t="shared" si="7"/>
        <v>11.733279491435036</v>
      </c>
      <c r="G33" s="10">
        <f t="shared" si="7"/>
        <v>11.962183362416532</v>
      </c>
      <c r="H33" s="10">
        <f t="shared" si="7"/>
        <v>12.42895014015402</v>
      </c>
      <c r="I33" s="10">
        <f t="shared" si="7"/>
        <v>12.741321403673446</v>
      </c>
      <c r="J33" s="10">
        <f t="shared" si="7"/>
        <v>12.833525711969621</v>
      </c>
      <c r="K33" s="10">
        <f t="shared" si="7"/>
        <v>11.561826598971781</v>
      </c>
      <c r="L33" s="10">
        <f t="shared" si="7"/>
        <v>11.838796698594196</v>
      </c>
      <c r="M33" s="10">
        <f t="shared" si="7"/>
        <v>12.196831377434572</v>
      </c>
      <c r="N33" s="10">
        <f t="shared" si="7"/>
        <v>12.578989850033075</v>
      </c>
      <c r="O33" s="10">
        <f t="shared" si="7"/>
        <v>12.943748912259764</v>
      </c>
      <c r="P33" s="10">
        <f t="shared" si="7"/>
        <v>13.293156219041338</v>
      </c>
      <c r="Q33" s="10">
        <f t="shared" si="7"/>
        <v>13.796971651769542</v>
      </c>
      <c r="R33" s="10">
        <f t="shared" si="7"/>
        <v>14.29213948930181</v>
      </c>
      <c r="S33" s="10">
        <f t="shared" si="7"/>
        <v>14.806623091068133</v>
      </c>
      <c r="T33" s="10">
        <f t="shared" si="7"/>
        <v>15.386903162745075</v>
      </c>
      <c r="U33" s="10">
        <f t="shared" si="7"/>
        <v>15.896895499285378</v>
      </c>
      <c r="V33" s="10">
        <f t="shared" si="7"/>
        <v>16.483783771999072</v>
      </c>
      <c r="W33" s="10">
        <f t="shared" si="7"/>
        <v>17.000554004735804</v>
      </c>
      <c r="X33" s="10">
        <f t="shared" si="7"/>
        <v>17.568345915480958</v>
      </c>
      <c r="Y33" s="10">
        <f t="shared" si="7"/>
        <v>18.168436471617223</v>
      </c>
      <c r="Z33" s="10">
        <f t="shared" si="7"/>
        <v>18.798257619728236</v>
      </c>
      <c r="AA33" s="10">
        <f t="shared" si="7"/>
        <v>19.417739325468794</v>
      </c>
      <c r="AB33" s="10">
        <f t="shared" si="7"/>
        <v>20.034716400793577</v>
      </c>
      <c r="AC33" s="10">
        <f t="shared" si="7"/>
        <v>20.629508662243754</v>
      </c>
      <c r="AD33" s="10">
        <f t="shared" si="7"/>
        <v>21.224214874672025</v>
      </c>
      <c r="AE33" s="10">
        <f t="shared" si="7"/>
        <v>21.827921788510363</v>
      </c>
      <c r="AF33" s="10">
        <f t="shared" si="7"/>
        <v>25.219679461569648</v>
      </c>
      <c r="AG33" s="10">
        <f t="shared" si="7"/>
        <v>28.480189599163776</v>
      </c>
      <c r="AH33" s="10"/>
      <c r="AI33" s="10"/>
      <c r="AJ33" s="10"/>
      <c r="AK33" s="10"/>
      <c r="AL33" s="10"/>
      <c r="AM33" s="10"/>
    </row>
    <row r="34" spans="1:39">
      <c r="A34" t="s">
        <v>403</v>
      </c>
      <c r="B34" s="225">
        <f t="shared" si="2"/>
        <v>28</v>
      </c>
      <c r="C34">
        <f>INDEX(DriversGams!$A71:$AN71,1,MATCH(Drivers!C$5,DriversGams!$A$70:$AN$70,0))</f>
        <v>0.29299999999999998</v>
      </c>
      <c r="D34" s="225">
        <f>INDEX(DriversGams!$A71:$AN71,1,MATCH(Drivers!D$5,DriversGams!$A$70:$AN$70,0))</f>
        <v>0.29799999999999999</v>
      </c>
      <c r="E34" s="225">
        <f>INDEX(DriversGams!$A71:$AN71,1,MATCH(Drivers!E$5,DriversGams!$A$70:$AN$70,0))</f>
        <v>0.30099999999999999</v>
      </c>
      <c r="F34" s="225">
        <f>INDEX(DriversGams!$A71:$AN71,1,MATCH(Drivers!F$5,DriversGams!$A$70:$AN$70,0))</f>
        <v>0.30299999999999999</v>
      </c>
      <c r="G34" s="225">
        <f>INDEX(DriversGams!$A71:$AN71,1,MATCH(Drivers!G$5,DriversGams!$A$70:$AN$70,0))</f>
        <v>0.30299999999999999</v>
      </c>
      <c r="H34" s="225">
        <f>INDEX(DriversGams!$A71:$AN71,1,MATCH(Drivers!H$5,DriversGams!$A$70:$AN$70,0))</f>
        <v>0.307</v>
      </c>
      <c r="I34" s="225">
        <f>INDEX(DriversGams!$A71:$AN71,1,MATCH(Drivers!I$5,DriversGams!$A$70:$AN$70,0))</f>
        <v>0.308</v>
      </c>
      <c r="J34" s="225">
        <f>INDEX(DriversGams!$A71:$AN71,1,MATCH(Drivers!J$5,DriversGams!$A$70:$AN$70,0))</f>
        <v>0.30599999999999999</v>
      </c>
      <c r="K34" s="225">
        <f>INDEX(DriversGams!$A71:$AN71,1,MATCH(Drivers!K$5,DriversGams!$A$70:$AN$70,0))</f>
        <v>0.27900000000000003</v>
      </c>
      <c r="L34" s="225">
        <f>INDEX(DriversGams!$A71:$AN71,1,MATCH(Drivers!L$5,DriversGams!$A$70:$AN$70,0))</f>
        <v>0.28599999999999998</v>
      </c>
      <c r="M34" s="225">
        <f>INDEX(DriversGams!$A71:$AN71,1,MATCH(Drivers!M$5,DriversGams!$A$70:$AN$70,0))</f>
        <v>0.28899999999999998</v>
      </c>
      <c r="N34" s="225">
        <f>INDEX(DriversGams!$A71:$AN71,1,MATCH(Drivers!N$5,DriversGams!$A$70:$AN$70,0))</f>
        <v>0.29299999999999998</v>
      </c>
      <c r="O34" s="225">
        <f>INDEX(DriversGams!$A71:$AN71,1,MATCH(Drivers!O$5,DriversGams!$A$70:$AN$70,0))</f>
        <v>0.29599999999999999</v>
      </c>
      <c r="P34" s="225">
        <f>INDEX(DriversGams!$A71:$AN71,1,MATCH(Drivers!P$5,DriversGams!$A$70:$AN$70,0))</f>
        <v>0.29899999999999999</v>
      </c>
      <c r="Q34" s="225">
        <f>INDEX(DriversGams!$A71:$AN71,1,MATCH(Drivers!Q$5,DriversGams!$A$70:$AN$70,0))</f>
        <v>0.30399999999999999</v>
      </c>
      <c r="R34" s="225">
        <f>INDEX(DriversGams!$A71:$AN71,1,MATCH(Drivers!R$5,DriversGams!$A$70:$AN$70,0))</f>
        <v>0.308</v>
      </c>
      <c r="S34" s="225">
        <f>INDEX(DriversGams!$A71:$AN71,1,MATCH(Drivers!S$5,DriversGams!$A$70:$AN$70,0))</f>
        <v>0.313</v>
      </c>
      <c r="T34" s="225">
        <f>INDEX(DriversGams!$A71:$AN71,1,MATCH(Drivers!T$5,DriversGams!$A$70:$AN$70,0))</f>
        <v>0.31900000000000001</v>
      </c>
      <c r="U34" s="225">
        <f>INDEX(DriversGams!$A71:$AN71,1,MATCH(Drivers!U$5,DriversGams!$A$70:$AN$70,0))</f>
        <v>0.32300000000000001</v>
      </c>
      <c r="V34" s="225">
        <f>INDEX(DriversGams!$A71:$AN71,1,MATCH(Drivers!V$5,DriversGams!$A$70:$AN$70,0))</f>
        <v>0.33</v>
      </c>
      <c r="W34" s="225">
        <f>INDEX(DriversGams!$A71:$AN71,1,MATCH(Drivers!W$5,DriversGams!$A$70:$AN$70,0))</f>
        <v>0.33600000000000002</v>
      </c>
      <c r="X34" s="225">
        <f>INDEX(DriversGams!$A71:$AN71,1,MATCH(Drivers!X$5,DriversGams!$A$70:$AN$70,0))</f>
        <v>0.34300000000000003</v>
      </c>
      <c r="Y34" s="225">
        <f>INDEX(DriversGams!$A71:$AN71,1,MATCH(Drivers!Y$5,DriversGams!$A$70:$AN$70,0))</f>
        <v>0.35</v>
      </c>
      <c r="Z34" s="225">
        <f>INDEX(DriversGams!$A71:$AN71,1,MATCH(Drivers!Z$5,DriversGams!$A$70:$AN$70,0))</f>
        <v>0.3576086956521739</v>
      </c>
      <c r="AA34" s="225">
        <f>INDEX(DriversGams!$A71:$AN71,1,MATCH(Drivers!AA$5,DriversGams!$A$70:$AN$70,0))</f>
        <v>0.36538279773156901</v>
      </c>
      <c r="AB34" s="225">
        <f>INDEX(DriversGams!$A71:$AN71,1,MATCH(Drivers!AB$5,DriversGams!$A$70:$AN$70,0))</f>
        <v>0.37402068893089691</v>
      </c>
      <c r="AC34" s="225">
        <f>INDEX(DriversGams!$A71:$AN71,1,MATCH(Drivers!AC$5,DriversGams!$A$70:$AN$70,0))</f>
        <v>0.38179479101029201</v>
      </c>
      <c r="AD34" s="225">
        <f>INDEX(DriversGams!$A71:$AN71,1,MATCH(Drivers!AD$5,DriversGams!$A$70:$AN$70,0))</f>
        <v>0.39043268220961985</v>
      </c>
      <c r="AE34" s="225">
        <f>INDEX(DriversGams!$A71:$AN71,1,MATCH(Drivers!AE$5,DriversGams!$A$70:$AN$70,0))</f>
        <v>0.39907057340894769</v>
      </c>
      <c r="AF34" s="225">
        <f>INDEX(DriversGams!$A71:$AN71,1,MATCH(Drivers!AF$5,DriversGams!$A$70:$AN$70,0))</f>
        <v>0.44830655324511653</v>
      </c>
      <c r="AG34" s="225">
        <f>INDEX(DriversGams!$A71:$AN71,1,MATCH(Drivers!AG$5,DriversGams!$A$70:$AN$70,0))</f>
        <v>0.50702887986587275</v>
      </c>
      <c r="AH34" s="150"/>
      <c r="AI34" s="150"/>
      <c r="AJ34" s="150"/>
      <c r="AK34" s="150"/>
      <c r="AL34" s="150"/>
      <c r="AM34" s="150"/>
    </row>
    <row r="35" spans="1:39">
      <c r="A35" s="4" t="s">
        <v>279</v>
      </c>
      <c r="B35" s="4"/>
      <c r="C35" s="130"/>
      <c r="D35" s="130">
        <f>(D34/C34)^(1/(D$5-C$5))-1</f>
        <v>1.7064846416382284E-2</v>
      </c>
      <c r="E35" s="130">
        <f t="shared" ref="E35:AG35" si="9">(E34/D34)^(1/(E$5-D$5))-1</f>
        <v>1.0067114093959662E-2</v>
      </c>
      <c r="F35" s="130">
        <f t="shared" si="9"/>
        <v>6.6445182724252927E-3</v>
      </c>
      <c r="G35" s="130">
        <f t="shared" si="9"/>
        <v>0</v>
      </c>
      <c r="H35" s="130">
        <f t="shared" si="9"/>
        <v>1.3201320132013139E-2</v>
      </c>
      <c r="I35" s="130">
        <f t="shared" si="9"/>
        <v>3.2573289902280145E-3</v>
      </c>
      <c r="J35" s="130">
        <f t="shared" si="9"/>
        <v>-6.4935064935065512E-3</v>
      </c>
      <c r="K35" s="130">
        <f t="shared" si="9"/>
        <v>-8.8235294117646967E-2</v>
      </c>
      <c r="L35" s="130">
        <f t="shared" si="9"/>
        <v>2.5089605734766929E-2</v>
      </c>
      <c r="M35" s="130">
        <f t="shared" si="9"/>
        <v>1.0489510489510412E-2</v>
      </c>
      <c r="N35" s="130">
        <f t="shared" si="9"/>
        <v>1.384083044982698E-2</v>
      </c>
      <c r="O35" s="130">
        <f t="shared" si="9"/>
        <v>1.0238907849829282E-2</v>
      </c>
      <c r="P35" s="130">
        <f t="shared" si="9"/>
        <v>1.0135135135135087E-2</v>
      </c>
      <c r="Q35" s="130">
        <f t="shared" si="9"/>
        <v>1.6722408026755842E-2</v>
      </c>
      <c r="R35" s="130">
        <f t="shared" si="9"/>
        <v>1.3157894736842035E-2</v>
      </c>
      <c r="S35" s="130">
        <f t="shared" si="9"/>
        <v>1.6233766233766156E-2</v>
      </c>
      <c r="T35" s="130">
        <f t="shared" si="9"/>
        <v>1.9169329073482455E-2</v>
      </c>
      <c r="U35" s="130">
        <f t="shared" si="9"/>
        <v>1.2539184952978122E-2</v>
      </c>
      <c r="V35" s="130">
        <f t="shared" si="9"/>
        <v>2.1671826625387025E-2</v>
      </c>
      <c r="W35" s="130">
        <f t="shared" si="9"/>
        <v>1.8181818181818299E-2</v>
      </c>
      <c r="X35" s="130">
        <f t="shared" si="9"/>
        <v>2.0833333333333259E-2</v>
      </c>
      <c r="Y35" s="130">
        <f t="shared" si="9"/>
        <v>2.0408163265305923E-2</v>
      </c>
      <c r="Z35" s="130">
        <f t="shared" si="9"/>
        <v>2.1739130434782705E-2</v>
      </c>
      <c r="AA35" s="130">
        <f t="shared" si="9"/>
        <v>2.1739130434782705E-2</v>
      </c>
      <c r="AB35" s="130">
        <f t="shared" si="9"/>
        <v>2.3640661938534313E-2</v>
      </c>
      <c r="AC35" s="130">
        <f t="shared" si="9"/>
        <v>2.0785219399538146E-2</v>
      </c>
      <c r="AD35" s="130">
        <f t="shared" si="9"/>
        <v>2.2624434389140191E-2</v>
      </c>
      <c r="AE35" s="130">
        <f t="shared" si="9"/>
        <v>2.2123893805309658E-2</v>
      </c>
      <c r="AF35" s="130">
        <f t="shared" si="9"/>
        <v>2.3540605402066372E-2</v>
      </c>
      <c r="AG35" s="130">
        <f t="shared" si="9"/>
        <v>2.4923667450003073E-2</v>
      </c>
      <c r="AH35" s="130"/>
      <c r="AI35" s="130"/>
      <c r="AJ35" s="130"/>
      <c r="AK35" s="130"/>
      <c r="AL35" s="130"/>
      <c r="AM35" s="130"/>
    </row>
    <row r="36" spans="1:39">
      <c r="L36" s="10"/>
      <c r="Y36" s="130"/>
      <c r="Z36" s="130"/>
      <c r="AA36" s="130"/>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52" zoomScale="70" zoomScaleNormal="70" workbookViewId="0">
      <selection activeCell="A83" sqref="A83:XFD83"/>
    </sheetView>
  </sheetViews>
  <sheetFormatPr defaultColWidth="8.85546875" defaultRowHeight="15"/>
  <cols>
    <col min="4" max="4" width="8.85546875" style="4"/>
    <col min="7" max="7" width="9.85546875" customWidth="1"/>
    <col min="15" max="15" width="8.85546875" style="232"/>
    <col min="20" max="20" width="10.140625" style="232" customWidth="1"/>
    <col min="25" max="25" width="8.85546875" style="82"/>
  </cols>
  <sheetData>
    <row r="4" spans="1:56">
      <c r="B4">
        <v>2006</v>
      </c>
      <c r="G4">
        <f>AGR!J21</f>
        <v>2012</v>
      </c>
      <c r="H4" s="4">
        <f>AGR!K21</f>
        <v>2013</v>
      </c>
      <c r="I4" s="4">
        <f>AGR!L21</f>
        <v>2014</v>
      </c>
      <c r="J4" s="4">
        <f>AGR!M21</f>
        <v>2015</v>
      </c>
      <c r="K4" s="4">
        <f>AGR!N21</f>
        <v>2016</v>
      </c>
      <c r="L4" s="4">
        <f>AGR!O21</f>
        <v>2017</v>
      </c>
      <c r="M4" s="4">
        <f>AGR!P21</f>
        <v>2018</v>
      </c>
      <c r="N4" s="4">
        <f>AGR!Q21</f>
        <v>2019</v>
      </c>
      <c r="O4" s="232">
        <f>AGR!R21</f>
        <v>2020</v>
      </c>
      <c r="P4" s="4">
        <f>AGR!S21</f>
        <v>2021</v>
      </c>
      <c r="Q4" s="4">
        <f>AGR!T21</f>
        <v>2022</v>
      </c>
      <c r="R4" s="4">
        <f>AGR!U21</f>
        <v>2023</v>
      </c>
      <c r="S4" s="4">
        <f>AGR!V21</f>
        <v>2024</v>
      </c>
      <c r="T4" s="232">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306</v>
      </c>
      <c r="B5">
        <v>3.4886478690149998</v>
      </c>
      <c r="E5" s="152">
        <f>MATCH(F5,AGR!$D$22:$D$26,0)</f>
        <v>1</v>
      </c>
      <c r="F5" t="str">
        <f>A5</f>
        <v>AH</v>
      </c>
      <c r="G5" s="150">
        <f ca="1">OFFSET(AGR!J$21,$E5,0)</f>
        <v>2.5043970166379772</v>
      </c>
      <c r="H5" s="150">
        <f ca="1">OFFSET(AGR!K$21,$E5,0)</f>
        <v>2.6102115568711772</v>
      </c>
      <c r="I5" s="150">
        <f ca="1">OFFSET(AGR!L$21,$E5,0)</f>
        <v>2.7204969205602345</v>
      </c>
      <c r="J5" s="150">
        <f ca="1">OFFSET(AGR!M$21,$E5,0)</f>
        <v>2.822931461749393</v>
      </c>
      <c r="K5" s="150">
        <f ca="1">OFFSET(AGR!N$21,$E5,0)</f>
        <v>2.7799388623451842</v>
      </c>
      <c r="L5" s="150">
        <f ca="1">OFFSET(AGR!O$21,$E5,0)</f>
        <v>2.7496571184170024</v>
      </c>
      <c r="M5" s="150">
        <f ca="1">OFFSET(AGR!P$21,$E5,0)</f>
        <v>2.8412500475824909</v>
      </c>
      <c r="N5" s="150">
        <f ca="1">OFFSET(AGR!Q$21,$E5,0)</f>
        <v>2.7956405073449826</v>
      </c>
      <c r="O5" s="243">
        <f ca="1">OFFSET(AGR!R$21,$E5,0)</f>
        <v>2.7489094210360601</v>
      </c>
      <c r="P5" s="150">
        <f ca="1">OFFSET(AGR!S$21,$E5,0)</f>
        <v>2.6528303075849147</v>
      </c>
      <c r="Q5" s="150">
        <f ca="1">OFFSET(AGR!T$21,$E5,0)</f>
        <v>2.7276000456791905</v>
      </c>
      <c r="R5" s="150">
        <f ca="1">OFFSET(AGR!U$21,$E5,0)</f>
        <v>2.8038651785353523</v>
      </c>
      <c r="S5" s="150">
        <f ca="1">OFFSET(AGR!V$21,$E5,0)</f>
        <v>2.8606901794870021</v>
      </c>
      <c r="T5" s="243">
        <f ca="1">OFFSET(AGR!W$21,$E5,0)</f>
        <v>2.9122812987720534</v>
      </c>
      <c r="U5" s="150">
        <f ca="1">OFFSET(AGR!X$21,$E5,0)</f>
        <v>2.9582646877000327</v>
      </c>
      <c r="V5" s="150">
        <f ca="1">OFFSET(AGR!Y$21,$E5,0)</f>
        <v>3.0337821231752518</v>
      </c>
      <c r="W5" s="150">
        <f ca="1">OFFSET(AGR!Z$21,$E5,0)</f>
        <v>3.1051872230552853</v>
      </c>
      <c r="X5" s="150">
        <f ca="1">OFFSET(AGR!AA$21,$E5,0)</f>
        <v>3.177713869006733</v>
      </c>
      <c r="Y5" s="245">
        <f ca="1">OFFSET(AGR!AB$21,$E5,0)</f>
        <v>3.24463278460111</v>
      </c>
      <c r="Z5" s="150">
        <f ca="1">OFFSET(AGR!AC$21,$E5,0)</f>
        <v>3.3126732462669009</v>
      </c>
      <c r="AA5" s="150">
        <f ca="1">OFFSET(AGR!AD$21,$E5,0)</f>
        <v>3.3840783461469344</v>
      </c>
      <c r="AB5" s="150">
        <f ca="1">OFFSET(AGR!AE$21,$E5,0)</f>
        <v>3.4476326235270696</v>
      </c>
      <c r="AC5" s="150">
        <f ca="1">OFFSET(AGR!AF$21,$E5,0)</f>
        <v>3.5141776904309752</v>
      </c>
      <c r="AD5" s="150">
        <f ca="1">OFFSET(AGR!AG$21,$E5,0)</f>
        <v>3.5825920007872374</v>
      </c>
      <c r="AE5" s="150">
        <f ca="1">OFFSET(AGR!AH$21,$E5,0)</f>
        <v>3.6521278572149143</v>
      </c>
      <c r="AF5" s="150">
        <f ca="1">OFFSET(AGR!AI$21,$E5,0)</f>
        <v>3.7280191413806048</v>
      </c>
      <c r="AG5" s="150">
        <f ca="1">OFFSET(AGR!AJ$21,$E5,0)</f>
        <v>3.8076489124510089</v>
      </c>
      <c r="AH5" s="150">
        <f ca="1">OFFSET(AGR!AK$21,$E5,0)</f>
        <v>3.8887740782832982</v>
      </c>
      <c r="AI5" s="150">
        <f ca="1">OFFSET(AGR!AL$21,$E5,0)</f>
        <v>3.9725161849488879</v>
      </c>
      <c r="AJ5" s="150">
        <f ca="1">OFFSET(AGR!AM$21,$E5,0)</f>
        <v>4.0599967785191904</v>
      </c>
      <c r="AK5" s="150">
        <f ca="1">OFFSET(AGR!AN$21,$E5,0)</f>
        <v>4.512353693989561</v>
      </c>
      <c r="AL5" s="150">
        <f ca="1">OFFSET(AGR!AO$21,$E5,0)</f>
        <v>5.0936884076725573</v>
      </c>
      <c r="AM5" s="150">
        <f ca="1">OFFSET(AGR!AP$21,$E5,0)</f>
        <v>5.0936884076725573</v>
      </c>
      <c r="AQ5" s="4"/>
    </row>
    <row r="6" spans="1:56">
      <c r="A6" s="36" t="s">
        <v>307</v>
      </c>
      <c r="B6">
        <v>6.8942225938929997</v>
      </c>
      <c r="E6" s="153">
        <f>MATCH(F6,AGR!$D$22:$D$26,0)</f>
        <v>4</v>
      </c>
      <c r="F6" s="4" t="str">
        <f t="shared" ref="F6:F68" si="0">A6</f>
        <v>AI</v>
      </c>
      <c r="G6" s="150">
        <f ca="1">OFFSET(AGR!J$21,$E6,0)</f>
        <v>4.8851919315217742</v>
      </c>
      <c r="H6" s="150">
        <f ca="1">OFFSET(AGR!K$21,$E6,0)</f>
        <v>5.0915986373079276</v>
      </c>
      <c r="I6" s="150">
        <f ca="1">OFFSET(AGR!L$21,$E6,0)</f>
        <v>5.3067263368217974</v>
      </c>
      <c r="J6" s="150">
        <f ca="1">OFFSET(AGR!M$21,$E6,0)</f>
        <v>5.5065398611160363</v>
      </c>
      <c r="K6" s="150">
        <f ca="1">OFFSET(AGR!N$21,$E6,0)</f>
        <v>5.4226765206275784</v>
      </c>
      <c r="L6" s="150">
        <f ca="1">OFFSET(AGR!O$21,$E6,0)</f>
        <v>5.3636075590661427</v>
      </c>
      <c r="M6" s="150">
        <f ca="1">OFFSET(AGR!P$21,$E6,0)</f>
        <v>5.5422729366285095</v>
      </c>
      <c r="N6" s="150">
        <f ca="1">OFFSET(AGR!Q$21,$E6,0)</f>
        <v>5.4533048710668419</v>
      </c>
      <c r="O6" s="243">
        <f ca="1">OFFSET(AGR!R$21,$E6,0)</f>
        <v>5.3621490661880831</v>
      </c>
      <c r="P6" s="150">
        <f ca="1">OFFSET(AGR!S$21,$E6,0)</f>
        <v>5.1747327313573548</v>
      </c>
      <c r="Q6" s="150">
        <f ca="1">OFFSET(AGR!T$21,$E6,0)</f>
        <v>5.3205820191633677</v>
      </c>
      <c r="R6" s="150">
        <f ca="1">OFFSET(AGR!U$21,$E6,0)</f>
        <v>5.4693482927255017</v>
      </c>
      <c r="S6" s="150">
        <f ca="1">OFFSET(AGR!V$21,$E6,0)</f>
        <v>5.5801937514580722</v>
      </c>
      <c r="T6" s="243">
        <f ca="1">OFFSET(AGR!W$21,$E6,0)</f>
        <v>5.6808297600442224</v>
      </c>
      <c r="U6" s="150">
        <f ca="1">OFFSET(AGR!X$21,$E6,0)</f>
        <v>5.7705270720449198</v>
      </c>
      <c r="V6" s="150">
        <f ca="1">OFFSET(AGR!Y$21,$E6,0)</f>
        <v>5.9178348527289941</v>
      </c>
      <c r="W6" s="150">
        <f ca="1">OFFSET(AGR!Z$21,$E6,0)</f>
        <v>6.0571209225837368</v>
      </c>
      <c r="X6" s="150">
        <f ca="1">OFFSET(AGR!AA$21,$E6,0)</f>
        <v>6.198594731755569</v>
      </c>
      <c r="Y6" s="245">
        <f ca="1">OFFSET(AGR!AB$21,$E6,0)</f>
        <v>6.329129844341951</v>
      </c>
      <c r="Z6" s="150">
        <f ca="1">OFFSET(AGR!AC$21,$E6,0)</f>
        <v>6.4618526962454217</v>
      </c>
      <c r="AA6" s="150">
        <f ca="1">OFFSET(AGR!AD$21,$E6,0)</f>
        <v>6.6011387661001644</v>
      </c>
      <c r="AB6" s="150">
        <f ca="1">OFFSET(AGR!AE$21,$E6,0)</f>
        <v>6.7251106607352762</v>
      </c>
      <c r="AC6" s="150">
        <f ca="1">OFFSET(AGR!AF$21,$E6,0)</f>
        <v>6.8549165268826275</v>
      </c>
      <c r="AD6" s="150">
        <f ca="1">OFFSET(AGR!AG$21,$E6,0)</f>
        <v>6.9883686252251289</v>
      </c>
      <c r="AE6" s="150">
        <f ca="1">OFFSET(AGR!AH$21,$E6,0)</f>
        <v>7.1240084628847216</v>
      </c>
      <c r="AF6" s="150">
        <f ca="1">OFFSET(AGR!AI$21,$E6,0)</f>
        <v>7.2720454900078257</v>
      </c>
      <c r="AG6" s="150">
        <f ca="1">OFFSET(AGR!AJ$21,$E6,0)</f>
        <v>7.42737498152123</v>
      </c>
      <c r="AH6" s="150">
        <f ca="1">OFFSET(AGR!AK$21,$E6,0)</f>
        <v>7.5856214587907536</v>
      </c>
      <c r="AI6" s="150">
        <f ca="1">OFFSET(AGR!AL$21,$E6,0)</f>
        <v>7.7489726611334895</v>
      </c>
      <c r="AJ6" s="150">
        <f ca="1">OFFSET(AGR!AM$21,$E6,0)</f>
        <v>7.9196163278665237</v>
      </c>
      <c r="AK6" s="150">
        <f ca="1">OFFSET(AGR!AN$21,$E6,0)</f>
        <v>8.8020045190929039</v>
      </c>
      <c r="AL6" s="150">
        <f ca="1">OFFSET(AGR!AO$21,$E6,0)</f>
        <v>9.935982731784657</v>
      </c>
      <c r="AM6" s="150">
        <f ca="1">OFFSET(AGR!AP$21,$E6,0)</f>
        <v>9.935982731784657</v>
      </c>
      <c r="AQ6" s="4"/>
    </row>
    <row r="7" spans="1:56">
      <c r="A7" s="36" t="s">
        <v>308</v>
      </c>
      <c r="B7">
        <v>8.6660070567129992</v>
      </c>
      <c r="E7" s="153">
        <f>MATCH(F7,AGR!$D$22:$D$26,0)</f>
        <v>5</v>
      </c>
      <c r="F7" s="4" t="str">
        <f t="shared" si="0"/>
        <v>AO</v>
      </c>
      <c r="G7" s="150">
        <f ca="1">OFFSET(AGR!J$21,$E7,0)</f>
        <v>8.4310585921569263</v>
      </c>
      <c r="H7" s="150">
        <f ca="1">OFFSET(AGR!K$21,$E7,0)</f>
        <v>8.7872834968670794</v>
      </c>
      <c r="I7" s="150">
        <f ca="1">OFFSET(AGR!L$21,$E7,0)</f>
        <v>9.1585594395161465</v>
      </c>
      <c r="J7" s="150">
        <f ca="1">OFFSET(AGR!M$21,$E7,0)</f>
        <v>9.5034055692986712</v>
      </c>
      <c r="K7" s="150">
        <f ca="1">OFFSET(AGR!N$21,$E7,0)</f>
        <v>9.3586708797914078</v>
      </c>
      <c r="L7" s="150">
        <f ca="1">OFFSET(AGR!O$21,$E7,0)</f>
        <v>9.2567273158775958</v>
      </c>
      <c r="M7" s="150">
        <f ca="1">OFFSET(AGR!P$21,$E7,0)</f>
        <v>9.5650751326539414</v>
      </c>
      <c r="N7" s="150">
        <f ca="1">OFFSET(AGR!Q$21,$E7,0)</f>
        <v>9.4115305055244978</v>
      </c>
      <c r="O7" s="243">
        <f ca="1">OFFSET(AGR!R$21,$E7,0)</f>
        <v>9.2542101908426897</v>
      </c>
      <c r="P7" s="150">
        <f ca="1">OFFSET(AGR!S$21,$E7,0)</f>
        <v>8.9307596238568898</v>
      </c>
      <c r="Q7" s="150">
        <f ca="1">OFFSET(AGR!T$21,$E7,0)</f>
        <v>9.1824721273477827</v>
      </c>
      <c r="R7" s="150">
        <f ca="1">OFFSET(AGR!U$21,$E7,0)</f>
        <v>9.4392188809084949</v>
      </c>
      <c r="S7" s="150">
        <f ca="1">OFFSET(AGR!V$21,$E7,0)</f>
        <v>9.6305203835615742</v>
      </c>
      <c r="T7" s="243">
        <f ca="1">OFFSET(AGR!W$21,$E7,0)</f>
        <v>9.8042020109702932</v>
      </c>
      <c r="U7" s="150">
        <f ca="1">OFFSET(AGR!X$21,$E7,0)</f>
        <v>9.9590052006171916</v>
      </c>
      <c r="V7" s="150">
        <f ca="1">OFFSET(AGR!Y$21,$E7,0)</f>
        <v>10.213234829142994</v>
      </c>
      <c r="W7" s="150">
        <f ca="1">OFFSET(AGR!Z$21,$E7,0)</f>
        <v>10.453620269976797</v>
      </c>
      <c r="X7" s="150">
        <f ca="1">OFFSET(AGR!AA$21,$E7,0)</f>
        <v>10.697781398362963</v>
      </c>
      <c r="Y7" s="245">
        <f ca="1">OFFSET(AGR!AB$21,$E7,0)</f>
        <v>10.923064088987314</v>
      </c>
      <c r="Z7" s="150">
        <f ca="1">OFFSET(AGR!AC$21,$E7,0)</f>
        <v>11.152122467164025</v>
      </c>
      <c r="AA7" s="150">
        <f ca="1">OFFSET(AGR!AD$21,$E7,0)</f>
        <v>11.392507907997828</v>
      </c>
      <c r="AB7" s="150">
        <f ca="1">OFFSET(AGR!AE$21,$E7,0)</f>
        <v>11.606463535965089</v>
      </c>
      <c r="AC7" s="150">
        <f ca="1">OFFSET(AGR!AF$21,$E7,0)</f>
        <v>11.830487664071983</v>
      </c>
      <c r="AD7" s="150">
        <f ca="1">OFFSET(AGR!AG$21,$E7,0)</f>
        <v>12.060804604766149</v>
      </c>
      <c r="AE7" s="150">
        <f ca="1">OFFSET(AGR!AH$21,$E7,0)</f>
        <v>12.29489723301268</v>
      </c>
      <c r="AF7" s="150">
        <f ca="1">OFFSET(AGR!AI$21,$E7,0)</f>
        <v>12.550385424055937</v>
      </c>
      <c r="AG7" s="150">
        <f ca="1">OFFSET(AGR!AJ$21,$E7,0)</f>
        <v>12.818459240273739</v>
      </c>
      <c r="AH7" s="150">
        <f ca="1">OFFSET(AGR!AK$21,$E7,0)</f>
        <v>13.091567306561357</v>
      </c>
      <c r="AI7" s="150">
        <f ca="1">OFFSET(AGR!AL$21,$E7,0)</f>
        <v>13.373485310471159</v>
      </c>
      <c r="AJ7" s="150">
        <f ca="1">OFFSET(AGR!AM$21,$E7,0)</f>
        <v>13.667988939555501</v>
      </c>
      <c r="AK7" s="150">
        <f ca="1">OFFSET(AGR!AN$21,$E7,0)</f>
        <v>15.190849585675405</v>
      </c>
      <c r="AL7" s="150">
        <f ca="1">OFFSET(AGR!AO$21,$E7,0)</f>
        <v>17.147914300317098</v>
      </c>
      <c r="AM7" s="150">
        <f ca="1">OFFSET(AGR!AP$21,$E7,0)</f>
        <v>17.147914300317098</v>
      </c>
      <c r="AQ7" s="4"/>
    </row>
    <row r="8" spans="1:56">
      <c r="A8" s="36" t="s">
        <v>309</v>
      </c>
      <c r="B8">
        <v>5.4851590254799998</v>
      </c>
      <c r="E8" s="153">
        <f>MATCH(F8,AGR!$D$22:$D$26,0)</f>
        <v>2</v>
      </c>
      <c r="F8" s="4" t="str">
        <f t="shared" si="0"/>
        <v>AP</v>
      </c>
      <c r="G8" s="150">
        <f ca="1">OFFSET(AGR!J$21,$E8,0)</f>
        <v>3.8349683201390801</v>
      </c>
      <c r="H8" s="150">
        <f ca="1">OFFSET(AGR!K$21,$E8,0)</f>
        <v>3.9970014989475917</v>
      </c>
      <c r="I8" s="150">
        <f ca="1">OFFSET(AGR!L$21,$E8,0)</f>
        <v>4.1658808232371278</v>
      </c>
      <c r="J8" s="150">
        <f ca="1">OFFSET(AGR!M$21,$E8,0)</f>
        <v>4.3227382295263919</v>
      </c>
      <c r="K8" s="150">
        <f ca="1">OFFSET(AGR!N$21,$E8,0)</f>
        <v>4.2569039166677589</v>
      </c>
      <c r="L8" s="150">
        <f ca="1">OFFSET(AGR!O$21,$E8,0)</f>
        <v>4.2105336615238524</v>
      </c>
      <c r="M8" s="150">
        <f ca="1">OFFSET(AGR!P$21,$E8,0)</f>
        <v>4.3507893715270267</v>
      </c>
      <c r="N8" s="150">
        <f ca="1">OFFSET(AGR!Q$21,$E8,0)</f>
        <v>4.280947752668304</v>
      </c>
      <c r="O8" s="243">
        <f ca="1">OFFSET(AGR!R$21,$E8,0)</f>
        <v>4.2093887169523985</v>
      </c>
      <c r="P8" s="150">
        <f ca="1">OFFSET(AGR!S$21,$E8,0)</f>
        <v>4.0622633395204968</v>
      </c>
      <c r="Q8" s="150">
        <f ca="1">OFFSET(AGR!T$21,$E8,0)</f>
        <v>4.1767577966659442</v>
      </c>
      <c r="R8" s="150">
        <f ca="1">OFFSET(AGR!U$21,$E8,0)</f>
        <v>4.2935421429543013</v>
      </c>
      <c r="S8" s="150">
        <f ca="1">OFFSET(AGR!V$21,$E8,0)</f>
        <v>4.3805579303848416</v>
      </c>
      <c r="T8" s="243">
        <f ca="1">OFFSET(AGR!W$21,$E8,0)</f>
        <v>4.4595591058152015</v>
      </c>
      <c r="U8" s="150">
        <f ca="1">OFFSET(AGR!X$21,$E8,0)</f>
        <v>4.5299731969596513</v>
      </c>
      <c r="V8" s="150">
        <f ca="1">OFFSET(AGR!Y$21,$E8,0)</f>
        <v>4.6456125986765544</v>
      </c>
      <c r="W8" s="150">
        <f ca="1">OFFSET(AGR!Z$21,$E8,0)</f>
        <v>4.7549548052504571</v>
      </c>
      <c r="X8" s="150">
        <f ca="1">OFFSET(AGR!AA$21,$E8,0)</f>
        <v>4.8660144286815417</v>
      </c>
      <c r="Y8" s="245">
        <f ca="1">OFFSET(AGR!AB$21,$E8,0)</f>
        <v>4.9684869678267178</v>
      </c>
      <c r="Z8" s="150">
        <f ca="1">OFFSET(AGR!AC$21,$E8,0)</f>
        <v>5.072676923829075</v>
      </c>
      <c r="AA8" s="150">
        <f ca="1">OFFSET(AGR!AD$21,$E8,0)</f>
        <v>5.1820191304029777</v>
      </c>
      <c r="AB8" s="150">
        <f ca="1">OFFSET(AGR!AE$21,$E8,0)</f>
        <v>5.2793394189766092</v>
      </c>
      <c r="AC8" s="150">
        <f ca="1">OFFSET(AGR!AF$21,$E8,0)</f>
        <v>5.3812394858360575</v>
      </c>
      <c r="AD8" s="150">
        <f ca="1">OFFSET(AGR!AG$21,$E8,0)</f>
        <v>5.4860019141241416</v>
      </c>
      <c r="AE8" s="150">
        <f ca="1">OFFSET(AGR!AH$21,$E8,0)</f>
        <v>5.5924817592694085</v>
      </c>
      <c r="AF8" s="150">
        <f ca="1">OFFSET(AGR!AI$21,$E8,0)</f>
        <v>5.7086936332720386</v>
      </c>
      <c r="AG8" s="150">
        <f ca="1">OFFSET(AGR!AJ$21,$E8,0)</f>
        <v>5.8306302301319404</v>
      </c>
      <c r="AH8" s="150">
        <f ca="1">OFFSET(AGR!AK$21,$E8,0)</f>
        <v>5.954856716134751</v>
      </c>
      <c r="AI8" s="150">
        <f ca="1">OFFSET(AGR!AL$21,$E8,0)</f>
        <v>6.0830905081376532</v>
      </c>
      <c r="AJ8" s="150">
        <f ca="1">OFFSET(AGR!AM$21,$E8,0)</f>
        <v>6.2170490229978261</v>
      </c>
      <c r="AK8" s="150">
        <f ca="1">OFFSET(AGR!AN$21,$E8,0)</f>
        <v>6.9097404887277865</v>
      </c>
      <c r="AL8" s="150">
        <f ca="1">OFFSET(AGR!AO$21,$E8,0)</f>
        <v>7.7999348930336438</v>
      </c>
      <c r="AM8" s="150">
        <f ca="1">OFFSET(AGR!AP$21,$E8,0)</f>
        <v>7.7999348930336438</v>
      </c>
      <c r="AQ8" s="4"/>
    </row>
    <row r="9" spans="1:56">
      <c r="A9" s="36" t="s">
        <v>310</v>
      </c>
      <c r="B9">
        <v>14.26028349219</v>
      </c>
      <c r="E9" s="154">
        <f>MATCH(F9,AGR!$D$22:$D$26,0)</f>
        <v>3</v>
      </c>
      <c r="F9" s="4" t="str">
        <f t="shared" si="0"/>
        <v>AT</v>
      </c>
      <c r="G9" s="150">
        <f ca="1">OFFSET(AGR!J$21,$E9,0)</f>
        <v>9.5227140641133712</v>
      </c>
      <c r="H9" s="150">
        <f ca="1">OFFSET(AGR!K$21,$E9,0)</f>
        <v>9.9250630542184179</v>
      </c>
      <c r="I9" s="150">
        <f ca="1">OFFSET(AGR!L$21,$E9,0)</f>
        <v>10.344411894234808</v>
      </c>
      <c r="J9" s="150">
        <f ca="1">OFFSET(AGR!M$21,$E9,0)</f>
        <v>10.733908782927998</v>
      </c>
      <c r="K9" s="150">
        <f ca="1">OFFSET(AGR!N$21,$E9,0)</f>
        <v>10.570433811396184</v>
      </c>
      <c r="L9" s="150">
        <f ca="1">OFFSET(AGR!O$21,$E9,0)</f>
        <v>10.455290570578123</v>
      </c>
      <c r="M9" s="150">
        <f ca="1">OFFSET(AGR!P$21,$E9,0)</f>
        <v>10.803563336015465</v>
      </c>
      <c r="N9" s="150">
        <f ca="1">OFFSET(AGR!Q$21,$E9,0)</f>
        <v>10.630137714042586</v>
      </c>
      <c r="O9" s="243">
        <f ca="1">OFFSET(AGR!R$21,$E9,0)</f>
        <v>10.452447527594963</v>
      </c>
      <c r="P9" s="150">
        <f ca="1">OFFSET(AGR!S$21,$E9,0)</f>
        <v>10.087116504258649</v>
      </c>
      <c r="Q9" s="150">
        <f ca="1">OFFSET(AGR!T$21,$E9,0)</f>
        <v>10.371420802574844</v>
      </c>
      <c r="R9" s="150">
        <f ca="1">OFFSET(AGR!U$21,$E9,0)</f>
        <v>10.661411186857366</v>
      </c>
      <c r="S9" s="150">
        <f ca="1">OFFSET(AGR!V$21,$E9,0)</f>
        <v>10.877482453577676</v>
      </c>
      <c r="T9" s="243">
        <f ca="1">OFFSET(AGR!W$21,$E9,0)</f>
        <v>11.073652419415854</v>
      </c>
      <c r="U9" s="150">
        <f ca="1">OFFSET(AGR!X$21,$E9,0)</f>
        <v>11.248499562880314</v>
      </c>
      <c r="V9" s="150">
        <f ca="1">OFFSET(AGR!Y$21,$E9,0)</f>
        <v>11.535646904179673</v>
      </c>
      <c r="W9" s="150">
        <f ca="1">OFFSET(AGR!Z$21,$E9,0)</f>
        <v>11.80715750907164</v>
      </c>
      <c r="X9" s="150">
        <f ca="1">OFFSET(AGR!AA$21,$E9,0)</f>
        <v>12.08293267843835</v>
      </c>
      <c r="Y9" s="245">
        <f ca="1">OFFSET(AGR!AB$21,$E9,0)</f>
        <v>12.337385025431347</v>
      </c>
      <c r="Z9" s="150">
        <f ca="1">OFFSET(AGR!AC$21,$E9,0)</f>
        <v>12.596101936899084</v>
      </c>
      <c r="AA9" s="150">
        <f ca="1">OFFSET(AGR!AD$21,$E9,0)</f>
        <v>12.867612541791052</v>
      </c>
      <c r="AB9" s="150">
        <f ca="1">OFFSET(AGR!AE$21,$E9,0)</f>
        <v>13.10927119535982</v>
      </c>
      <c r="AC9" s="150">
        <f ca="1">OFFSET(AGR!AF$21,$E9,0)</f>
        <v>13.362302020861234</v>
      </c>
      <c r="AD9" s="150">
        <f ca="1">OFFSET(AGR!AG$21,$E9,0)</f>
        <v>13.622440453820552</v>
      </c>
      <c r="AE9" s="150">
        <f ca="1">OFFSET(AGR!AH$21,$E9,0)</f>
        <v>13.886843451254615</v>
      </c>
      <c r="AF9" s="150">
        <f ca="1">OFFSET(AGR!AI$21,$E9,0)</f>
        <v>14.175412314045555</v>
      </c>
      <c r="AG9" s="150">
        <f ca="1">OFFSET(AGR!AJ$21,$E9,0)</f>
        <v>14.478196391752304</v>
      </c>
      <c r="AH9" s="150">
        <f ca="1">OFFSET(AGR!AK$21,$E9,0)</f>
        <v>14.786666555425375</v>
      </c>
      <c r="AI9" s="150">
        <f ca="1">OFFSET(AGR!AL$21,$E9,0)</f>
        <v>15.105087369539518</v>
      </c>
      <c r="AJ9" s="150">
        <f ca="1">OFFSET(AGR!AM$21,$E9,0)</f>
        <v>15.437723398569466</v>
      </c>
      <c r="AK9" s="150">
        <f ca="1">OFFSET(AGR!AN$21,$E9,0)</f>
        <v>17.157764403382455</v>
      </c>
      <c r="AL9" s="150">
        <f ca="1">OFFSET(AGR!AO$21,$E9,0)</f>
        <v>19.368230322790879</v>
      </c>
      <c r="AM9" s="150">
        <f ca="1">OFFSET(AGR!AP$21,$E9,0)</f>
        <v>19.368230322790879</v>
      </c>
      <c r="AQ9" s="4"/>
    </row>
    <row r="10" spans="1:56">
      <c r="A10" s="36" t="s">
        <v>311</v>
      </c>
      <c r="B10">
        <v>0.39719718710289997</v>
      </c>
      <c r="E10" s="153">
        <f ca="1">MATCH(F10,IND!$D$26:$D$255,0)</f>
        <v>110</v>
      </c>
      <c r="F10" s="4" t="str">
        <f t="shared" si="0"/>
        <v>ICPA</v>
      </c>
      <c r="G10" s="150">
        <f ca="1">OFFSET(IND!J$25,$E10,0)</f>
        <v>0.2086787369811067</v>
      </c>
      <c r="H10" s="150">
        <f ca="1">OFFSET(IND!K$25,$E10,0)</f>
        <v>0.21460598760545171</v>
      </c>
      <c r="I10" s="150">
        <f ca="1">OFFSET(IND!L$25,$E10,0)</f>
        <v>0.21835991300087018</v>
      </c>
      <c r="J10" s="150">
        <f ca="1">OFFSET(IND!M$25,$E10,0)</f>
        <v>0.2398875</v>
      </c>
      <c r="K10" s="150">
        <f ca="1">OFFSET(IND!N$25,$E10,0)</f>
        <v>0.2398875</v>
      </c>
      <c r="L10" s="150">
        <f ca="1">OFFSET(IND!O$25,$E10,0)</f>
        <v>0.2398875</v>
      </c>
      <c r="M10" s="150">
        <f ca="1">OFFSET(IND!P$25,$E10,0)</f>
        <v>0.24196426457597173</v>
      </c>
      <c r="N10" s="150">
        <f ca="1">OFFSET(IND!Q$25,$E10,0)</f>
        <v>0.24141328621908126</v>
      </c>
      <c r="O10" s="243">
        <f ca="1">OFFSET(IND!R$25,$E10,0)</f>
        <v>0.22195951192579502</v>
      </c>
      <c r="P10" s="150">
        <f ca="1">OFFSET(IND!S$25,$E10,0)</f>
        <v>0.22785074204946992</v>
      </c>
      <c r="Q10" s="150">
        <f ca="1">OFFSET(IND!T$25,$E10,0)</f>
        <v>0.23319099381625438</v>
      </c>
      <c r="R10" s="150">
        <f ca="1">OFFSET(IND!U$25,$E10,0)</f>
        <v>0.23823456492932857</v>
      </c>
      <c r="S10" s="150">
        <f ca="1">OFFSET(IND!V$25,$E10,0)</f>
        <v>0.24306622128975261</v>
      </c>
      <c r="T10" s="243">
        <f ca="1">OFFSET(IND!W$25,$E10,0)</f>
        <v>0.248321707155477</v>
      </c>
      <c r="U10" s="150">
        <f ca="1">OFFSET(IND!X$25,$E10,0)</f>
        <v>0.25501821333922253</v>
      </c>
      <c r="V10" s="150">
        <f ca="1">OFFSET(IND!Y$25,$E10,0)</f>
        <v>0.261587570671378</v>
      </c>
      <c r="W10" s="150">
        <f ca="1">OFFSET(IND!Z$25,$E10,0)</f>
        <v>0.26832645980565367</v>
      </c>
      <c r="X10" s="150">
        <f ca="1">OFFSET(IND!AA$25,$E10,0)</f>
        <v>0.27587062499999998</v>
      </c>
      <c r="Y10" s="245">
        <f ca="1">OFFSET(IND!AB$25,$E10,0)</f>
        <v>0.28366908789752648</v>
      </c>
      <c r="Z10" s="150">
        <f ca="1">OFFSET(IND!AC$25,$E10,0)</f>
        <v>0.29172184849823318</v>
      </c>
      <c r="AA10" s="150">
        <f ca="1">OFFSET(IND!AD$25,$E10,0)</f>
        <v>0.29952031139575969</v>
      </c>
      <c r="AB10" s="150">
        <f ca="1">OFFSET(IND!AE$25,$E10,0)</f>
        <v>0.30808166740282683</v>
      </c>
      <c r="AC10" s="150">
        <f ca="1">OFFSET(IND!AF$25,$E10,0)</f>
        <v>0.31723638471731441</v>
      </c>
      <c r="AD10" s="150">
        <f ca="1">OFFSET(IND!AG$25,$E10,0)</f>
        <v>0.32732352694346289</v>
      </c>
      <c r="AE10" s="150">
        <f ca="1">OFFSET(IND!AH$25,$E10,0)</f>
        <v>0.33770734982332157</v>
      </c>
      <c r="AF10" s="150">
        <f ca="1">OFFSET(IND!AI$25,$E10,0)</f>
        <v>0.34838785335689043</v>
      </c>
      <c r="AG10" s="150">
        <f ca="1">OFFSET(IND!AJ$25,$E10,0)</f>
        <v>0.35919550574204945</v>
      </c>
      <c r="AH10" s="150">
        <f ca="1">OFFSET(IND!AK$25,$E10,0)</f>
        <v>0.37034222173144871</v>
      </c>
      <c r="AI10" s="150">
        <f ca="1">OFFSET(IND!AL$25,$E10,0)</f>
        <v>0.38208229902826851</v>
      </c>
      <c r="AJ10" s="150">
        <f ca="1">OFFSET(IND!AM$25,$E10,0)</f>
        <v>0.44502098056537093</v>
      </c>
      <c r="AK10" s="150">
        <f ca="1">OFFSET(IND!AN$25,$E10,0)</f>
        <v>0.52211556757950517</v>
      </c>
      <c r="AL10" s="150">
        <f ca="1">OFFSET(IND!AO$25,$E10,0)</f>
        <v>0.65978951855123968</v>
      </c>
      <c r="AM10" s="150">
        <f ca="1">OFFSET(IND!AP$25,$E10,0)</f>
        <v>0.79982278710247634</v>
      </c>
      <c r="AQ10" s="4"/>
    </row>
    <row r="11" spans="1:56">
      <c r="A11" s="36" t="s">
        <v>312</v>
      </c>
      <c r="B11">
        <v>5.295962494706</v>
      </c>
      <c r="E11" s="153">
        <f ca="1">MATCH(F11,IND!$D$26:$D$255,0)</f>
        <v>112</v>
      </c>
      <c r="F11" s="4" t="str">
        <f t="shared" si="0"/>
        <v>ICPC</v>
      </c>
      <c r="G11" s="150">
        <f ca="1">OFFSET(IND!J$25,$E11,0)</f>
        <v>2.7823831597480893</v>
      </c>
      <c r="H11" s="150">
        <f ca="1">OFFSET(IND!K$25,$E11,0)</f>
        <v>2.8614131680726893</v>
      </c>
      <c r="I11" s="150">
        <f ca="1">OFFSET(IND!L$25,$E11,0)</f>
        <v>2.9114655066782689</v>
      </c>
      <c r="J11" s="150">
        <f ca="1">OFFSET(IND!M$25,$E11,0)</f>
        <v>3.1985000000000001</v>
      </c>
      <c r="K11" s="150">
        <f ca="1">OFFSET(IND!N$25,$E11,0)</f>
        <v>3.1985000000000001</v>
      </c>
      <c r="L11" s="150">
        <f ca="1">OFFSET(IND!O$25,$E11,0)</f>
        <v>3.1985000000000001</v>
      </c>
      <c r="M11" s="150">
        <f ca="1">OFFSET(IND!P$25,$E11,0)</f>
        <v>3.2261901943462901</v>
      </c>
      <c r="N11" s="150">
        <f ca="1">OFFSET(IND!Q$25,$E11,0)</f>
        <v>3.2188438162544171</v>
      </c>
      <c r="O11" s="243">
        <f ca="1">OFFSET(IND!R$25,$E11,0)</f>
        <v>2.9594601590106007</v>
      </c>
      <c r="P11" s="150">
        <f ca="1">OFFSET(IND!S$25,$E11,0)</f>
        <v>3.0380098939929328</v>
      </c>
      <c r="Q11" s="150">
        <f ca="1">OFFSET(IND!T$25,$E11,0)</f>
        <v>3.1092132508833923</v>
      </c>
      <c r="R11" s="150">
        <f ca="1">OFFSET(IND!U$25,$E11,0)</f>
        <v>3.1764608657243816</v>
      </c>
      <c r="S11" s="150">
        <f ca="1">OFFSET(IND!V$25,$E11,0)</f>
        <v>3.2408829505300356</v>
      </c>
      <c r="T11" s="243">
        <f ca="1">OFFSET(IND!W$25,$E11,0)</f>
        <v>3.3109560954063606</v>
      </c>
      <c r="U11" s="150">
        <f ca="1">OFFSET(IND!X$25,$E11,0)</f>
        <v>3.400242844522968</v>
      </c>
      <c r="V11" s="150">
        <f ca="1">OFFSET(IND!Y$25,$E11,0)</f>
        <v>3.4878342756183742</v>
      </c>
      <c r="W11" s="150">
        <f ca="1">OFFSET(IND!Z$25,$E11,0)</f>
        <v>3.5776861307420496</v>
      </c>
      <c r="X11" s="150">
        <f ca="1">OFFSET(IND!AA$25,$E11,0)</f>
        <v>3.6782750000000006</v>
      </c>
      <c r="Y11" s="245">
        <f ca="1">OFFSET(IND!AB$25,$E11,0)</f>
        <v>3.782254505300354</v>
      </c>
      <c r="Z11" s="150">
        <f ca="1">OFFSET(IND!AC$25,$E11,0)</f>
        <v>3.8896246466431097</v>
      </c>
      <c r="AA11" s="150">
        <f ca="1">OFFSET(IND!AD$25,$E11,0)</f>
        <v>3.9936041519434631</v>
      </c>
      <c r="AB11" s="150">
        <f ca="1">OFFSET(IND!AE$25,$E11,0)</f>
        <v>4.1077555653710247</v>
      </c>
      <c r="AC11" s="150">
        <f ca="1">OFFSET(IND!AF$25,$E11,0)</f>
        <v>4.2298184628975264</v>
      </c>
      <c r="AD11" s="150">
        <f ca="1">OFFSET(IND!AG$25,$E11,0)</f>
        <v>4.3643136925795059</v>
      </c>
      <c r="AE11" s="150">
        <f ca="1">OFFSET(IND!AH$25,$E11,0)</f>
        <v>4.5027646643109547</v>
      </c>
      <c r="AF11" s="150">
        <f ca="1">OFFSET(IND!AI$25,$E11,0)</f>
        <v>4.6451713780918729</v>
      </c>
      <c r="AG11" s="150">
        <f ca="1">OFFSET(IND!AJ$25,$E11,0)</f>
        <v>4.7892734098939931</v>
      </c>
      <c r="AH11" s="150">
        <f ca="1">OFFSET(IND!AK$25,$E11,0)</f>
        <v>4.9378962897526497</v>
      </c>
      <c r="AI11" s="150">
        <f ca="1">OFFSET(IND!AL$25,$E11,0)</f>
        <v>5.0944306537102477</v>
      </c>
      <c r="AJ11" s="150">
        <f ca="1">OFFSET(IND!AM$25,$E11,0)</f>
        <v>5.9336130742049464</v>
      </c>
      <c r="AK11" s="150">
        <f ca="1">OFFSET(IND!AN$25,$E11,0)</f>
        <v>6.9615409010600695</v>
      </c>
      <c r="AL11" s="150">
        <f ca="1">OFFSET(IND!AO$25,$E11,0)</f>
        <v>8.7971935806831976</v>
      </c>
      <c r="AM11" s="150">
        <f ca="1">OFFSET(IND!AP$25,$E11,0)</f>
        <v>10.66430382803302</v>
      </c>
      <c r="AQ11" s="4"/>
    </row>
    <row r="12" spans="1:56">
      <c r="A12" s="36" t="s">
        <v>313</v>
      </c>
      <c r="B12">
        <v>3.219945196781</v>
      </c>
      <c r="E12" s="153">
        <f ca="1">MATCH(F12,IND!$D$26:$D$255,0)</f>
        <v>117</v>
      </c>
      <c r="F12" s="4" t="str">
        <f t="shared" si="0"/>
        <v>ICPE</v>
      </c>
      <c r="G12" s="150">
        <f ca="1">OFFSET(IND!J$25,$E12,0)</f>
        <v>1.6916889611268384</v>
      </c>
      <c r="H12" s="150">
        <f ca="1">OFFSET(IND!K$25,$E12,0)</f>
        <v>1.7397392061881953</v>
      </c>
      <c r="I12" s="150">
        <f ca="1">OFFSET(IND!L$25,$E12,0)</f>
        <v>1.7701710280603877</v>
      </c>
      <c r="J12" s="150">
        <f ca="1">OFFSET(IND!M$25,$E12,0)</f>
        <v>1.9446880000000002</v>
      </c>
      <c r="K12" s="150">
        <f ca="1">OFFSET(IND!N$25,$E12,0)</f>
        <v>1.9446880000000002</v>
      </c>
      <c r="L12" s="150">
        <f ca="1">OFFSET(IND!O$25,$E12,0)</f>
        <v>1.9446880000000002</v>
      </c>
      <c r="M12" s="150">
        <f ca="1">OFFSET(IND!P$25,$E12,0)</f>
        <v>1.9615236381625445</v>
      </c>
      <c r="N12" s="150">
        <f ca="1">OFFSET(IND!Q$25,$E12,0)</f>
        <v>1.9570570402826859</v>
      </c>
      <c r="O12" s="243">
        <f ca="1">OFFSET(IND!R$25,$E12,0)</f>
        <v>1.7993517766784455</v>
      </c>
      <c r="P12" s="150">
        <f ca="1">OFFSET(IND!S$25,$E12,0)</f>
        <v>1.8471100155477034</v>
      </c>
      <c r="Q12" s="150">
        <f ca="1">OFFSET(IND!T$25,$E12,0)</f>
        <v>1.8904016565371027</v>
      </c>
      <c r="R12" s="150">
        <f ca="1">OFFSET(IND!U$25,$E12,0)</f>
        <v>1.9312882063604242</v>
      </c>
      <c r="S12" s="150">
        <f ca="1">OFFSET(IND!V$25,$E12,0)</f>
        <v>1.9704568339222617</v>
      </c>
      <c r="T12" s="243">
        <f ca="1">OFFSET(IND!W$25,$E12,0)</f>
        <v>2.0130613060070672</v>
      </c>
      <c r="U12" s="150">
        <f ca="1">OFFSET(IND!X$25,$E12,0)</f>
        <v>2.0673476494699647</v>
      </c>
      <c r="V12" s="150">
        <f ca="1">OFFSET(IND!Y$25,$E12,0)</f>
        <v>2.120603239575972</v>
      </c>
      <c r="W12" s="150">
        <f ca="1">OFFSET(IND!Z$25,$E12,0)</f>
        <v>2.1752331674911667</v>
      </c>
      <c r="X12" s="150">
        <f ca="1">OFFSET(IND!AA$25,$E12,0)</f>
        <v>2.2363912000000008</v>
      </c>
      <c r="Y12" s="245">
        <f ca="1">OFFSET(IND!AB$25,$E12,0)</f>
        <v>2.2996107392226155</v>
      </c>
      <c r="Z12" s="150">
        <f ca="1">OFFSET(IND!AC$25,$E12,0)</f>
        <v>2.3648917851590108</v>
      </c>
      <c r="AA12" s="150">
        <f ca="1">OFFSET(IND!AD$25,$E12,0)</f>
        <v>2.4281113243816255</v>
      </c>
      <c r="AB12" s="150">
        <f ca="1">OFFSET(IND!AE$25,$E12,0)</f>
        <v>2.4975153837455832</v>
      </c>
      <c r="AC12" s="150">
        <f ca="1">OFFSET(IND!AF$25,$E12,0)</f>
        <v>2.5717296254416961</v>
      </c>
      <c r="AD12" s="150">
        <f ca="1">OFFSET(IND!AG$25,$E12,0)</f>
        <v>2.6535027250883401</v>
      </c>
      <c r="AE12" s="150">
        <f ca="1">OFFSET(IND!AH$25,$E12,0)</f>
        <v>2.7376809159010613</v>
      </c>
      <c r="AF12" s="150">
        <f ca="1">OFFSET(IND!AI$25,$E12,0)</f>
        <v>2.8242641978798599</v>
      </c>
      <c r="AG12" s="150">
        <f ca="1">OFFSET(IND!AJ$25,$E12,0)</f>
        <v>2.9118782332155493</v>
      </c>
      <c r="AH12" s="150">
        <f ca="1">OFFSET(IND!AK$25,$E12,0)</f>
        <v>3.0022409441696127</v>
      </c>
      <c r="AI12" s="150">
        <f ca="1">OFFSET(IND!AL$25,$E12,0)</f>
        <v>3.0974138374558322</v>
      </c>
      <c r="AJ12" s="150">
        <f ca="1">OFFSET(IND!AM$25,$E12,0)</f>
        <v>3.6076367491166095</v>
      </c>
      <c r="AK12" s="150">
        <f ca="1">OFFSET(IND!AN$25,$E12,0)</f>
        <v>4.2326168678445244</v>
      </c>
      <c r="AL12" s="150">
        <f ca="1">OFFSET(IND!AO$25,$E12,0)</f>
        <v>5.3486936970553867</v>
      </c>
      <c r="AM12" s="150">
        <f ca="1">OFFSET(IND!AP$25,$E12,0)</f>
        <v>6.4838967274440789</v>
      </c>
      <c r="AQ12" s="4"/>
    </row>
    <row r="13" spans="1:56">
      <c r="A13" s="36" t="s">
        <v>314</v>
      </c>
      <c r="B13">
        <v>3.389415996611</v>
      </c>
      <c r="E13" s="153">
        <f ca="1">MATCH(F13,IND!$D$26:$D$255,0)</f>
        <v>115</v>
      </c>
      <c r="F13" s="4" t="str">
        <f t="shared" si="0"/>
        <v>ICPF</v>
      </c>
      <c r="G13" s="150">
        <f ca="1">OFFSET(IND!J$25,$E13,0)</f>
        <v>1.7807252222387775</v>
      </c>
      <c r="H13" s="150">
        <f ca="1">OFFSET(IND!K$25,$E13,0)</f>
        <v>1.8313044275665216</v>
      </c>
      <c r="I13" s="150">
        <f ca="1">OFFSET(IND!L$25,$E13,0)</f>
        <v>1.8633379242740926</v>
      </c>
      <c r="J13" s="150">
        <f ca="1">OFFSET(IND!M$25,$E13,0)</f>
        <v>2.0470400000000004</v>
      </c>
      <c r="K13" s="150">
        <f ca="1">OFFSET(IND!N$25,$E13,0)</f>
        <v>2.0470400000000004</v>
      </c>
      <c r="L13" s="150">
        <f ca="1">OFFSET(IND!O$25,$E13,0)</f>
        <v>2.0470400000000004</v>
      </c>
      <c r="M13" s="150">
        <f ca="1">OFFSET(IND!P$25,$E13,0)</f>
        <v>2.0647617243816261</v>
      </c>
      <c r="N13" s="150">
        <f ca="1">OFFSET(IND!Q$25,$E13,0)</f>
        <v>2.0600600424028275</v>
      </c>
      <c r="O13" s="243">
        <f ca="1">OFFSET(IND!R$25,$E13,0)</f>
        <v>1.8940545017667849</v>
      </c>
      <c r="P13" s="150">
        <f ca="1">OFFSET(IND!S$25,$E13,0)</f>
        <v>1.9443263321554776</v>
      </c>
      <c r="Q13" s="150">
        <f ca="1">OFFSET(IND!T$25,$E13,0)</f>
        <v>1.9898964805653716</v>
      </c>
      <c r="R13" s="150">
        <f ca="1">OFFSET(IND!U$25,$E13,0)</f>
        <v>2.0329349540636046</v>
      </c>
      <c r="S13" s="150">
        <f ca="1">OFFSET(IND!V$25,$E13,0)</f>
        <v>2.0741650883392229</v>
      </c>
      <c r="T13" s="243">
        <f ca="1">OFFSET(IND!W$25,$E13,0)</f>
        <v>2.119011901060071</v>
      </c>
      <c r="U13" s="150">
        <f ca="1">OFFSET(IND!X$25,$E13,0)</f>
        <v>2.1761554204946996</v>
      </c>
      <c r="V13" s="150">
        <f ca="1">OFFSET(IND!Y$25,$E13,0)</f>
        <v>2.2322139363957594</v>
      </c>
      <c r="W13" s="150">
        <f ca="1">OFFSET(IND!Z$25,$E13,0)</f>
        <v>2.2897191236749115</v>
      </c>
      <c r="X13" s="150">
        <f ca="1">OFFSET(IND!AA$25,$E13,0)</f>
        <v>2.3540960000000002</v>
      </c>
      <c r="Y13" s="245">
        <f ca="1">OFFSET(IND!AB$25,$E13,0)</f>
        <v>2.4206428833922264</v>
      </c>
      <c r="Z13" s="150">
        <f ca="1">OFFSET(IND!AC$25,$E13,0)</f>
        <v>2.4893597738515902</v>
      </c>
      <c r="AA13" s="150">
        <f ca="1">OFFSET(IND!AD$25,$E13,0)</f>
        <v>2.5559066572438165</v>
      </c>
      <c r="AB13" s="150">
        <f ca="1">OFFSET(IND!AE$25,$E13,0)</f>
        <v>2.6289635618374563</v>
      </c>
      <c r="AC13" s="150">
        <f ca="1">OFFSET(IND!AF$25,$E13,0)</f>
        <v>2.7070838162544173</v>
      </c>
      <c r="AD13" s="150">
        <f ca="1">OFFSET(IND!AG$25,$E13,0)</f>
        <v>2.7931607632508846</v>
      </c>
      <c r="AE13" s="150">
        <f ca="1">OFFSET(IND!AH$25,$E13,0)</f>
        <v>2.881769385159012</v>
      </c>
      <c r="AF13" s="150">
        <f ca="1">OFFSET(IND!AI$25,$E13,0)</f>
        <v>2.9729096819788001</v>
      </c>
      <c r="AG13" s="150">
        <f ca="1">OFFSET(IND!AJ$25,$E13,0)</f>
        <v>3.065134982332157</v>
      </c>
      <c r="AH13" s="150">
        <f ca="1">OFFSET(IND!AK$25,$E13,0)</f>
        <v>3.1602536254416975</v>
      </c>
      <c r="AI13" s="150">
        <f ca="1">OFFSET(IND!AL$25,$E13,0)</f>
        <v>3.2604356183745602</v>
      </c>
      <c r="AJ13" s="150">
        <f ca="1">OFFSET(IND!AM$25,$E13,0)</f>
        <v>3.7975123674911679</v>
      </c>
      <c r="AK13" s="150">
        <f ca="1">OFFSET(IND!AN$25,$E13,0)</f>
        <v>4.4553861766784468</v>
      </c>
      <c r="AL13" s="150">
        <f ca="1">OFFSET(IND!AO$25,$E13,0)</f>
        <v>5.6302038916372492</v>
      </c>
      <c r="AM13" s="150">
        <f ca="1">OFFSET(IND!AP$25,$E13,0)</f>
        <v>6.8251544499411354</v>
      </c>
      <c r="AQ13" s="4"/>
    </row>
    <row r="14" spans="1:56">
      <c r="A14" s="36" t="s">
        <v>315</v>
      </c>
      <c r="B14">
        <v>0.95327324904709998</v>
      </c>
      <c r="E14" s="153">
        <f ca="1">MATCH(F14,IND!$D$26:$D$255,0)</f>
        <v>113</v>
      </c>
      <c r="F14" s="4" t="str">
        <f t="shared" si="0"/>
        <v>ICPH</v>
      </c>
      <c r="G14" s="150">
        <f ca="1">OFFSET(IND!J$25,$E14,0)</f>
        <v>0.5008289687546561</v>
      </c>
      <c r="H14" s="150">
        <f ca="1">OFFSET(IND!K$25,$E14,0)</f>
        <v>0.51505437025308409</v>
      </c>
      <c r="I14" s="150">
        <f ca="1">OFFSET(IND!L$25,$E14,0)</f>
        <v>0.52406379120208846</v>
      </c>
      <c r="J14" s="150">
        <f ca="1">OFFSET(IND!M$25,$E14,0)</f>
        <v>0.57573000000000008</v>
      </c>
      <c r="K14" s="150">
        <f ca="1">OFFSET(IND!N$25,$E14,0)</f>
        <v>0.57573000000000008</v>
      </c>
      <c r="L14" s="150">
        <f ca="1">OFFSET(IND!O$25,$E14,0)</f>
        <v>0.57573000000000008</v>
      </c>
      <c r="M14" s="150">
        <f ca="1">OFFSET(IND!P$25,$E14,0)</f>
        <v>0.58071423498233221</v>
      </c>
      <c r="N14" s="150">
        <f ca="1">OFFSET(IND!Q$25,$E14,0)</f>
        <v>0.57939188692579513</v>
      </c>
      <c r="O14" s="243">
        <f ca="1">OFFSET(IND!R$25,$E14,0)</f>
        <v>0.5327028286219081</v>
      </c>
      <c r="P14" s="150">
        <f ca="1">OFFSET(IND!S$25,$E14,0)</f>
        <v>0.54684178091872793</v>
      </c>
      <c r="Q14" s="150">
        <f ca="1">OFFSET(IND!T$25,$E14,0)</f>
        <v>0.55965838515901056</v>
      </c>
      <c r="R14" s="150">
        <f ca="1">OFFSET(IND!U$25,$E14,0)</f>
        <v>0.57176295583038861</v>
      </c>
      <c r="S14" s="150">
        <f ca="1">OFFSET(IND!V$25,$E14,0)</f>
        <v>0.58335893109540626</v>
      </c>
      <c r="T14" s="243">
        <f ca="1">OFFSET(IND!W$25,$E14,0)</f>
        <v>0.59597209717314481</v>
      </c>
      <c r="U14" s="150">
        <f ca="1">OFFSET(IND!X$25,$E14,0)</f>
        <v>0.61204371201413421</v>
      </c>
      <c r="V14" s="150">
        <f ca="1">OFFSET(IND!Y$25,$E14,0)</f>
        <v>0.62781016961130731</v>
      </c>
      <c r="W14" s="150">
        <f ca="1">OFFSET(IND!Z$25,$E14,0)</f>
        <v>0.64398350353356892</v>
      </c>
      <c r="X14" s="150">
        <f ca="1">OFFSET(IND!AA$25,$E14,0)</f>
        <v>0.66208950000000011</v>
      </c>
      <c r="Y14" s="245">
        <f ca="1">OFFSET(IND!AB$25,$E14,0)</f>
        <v>0.68080581095406367</v>
      </c>
      <c r="Z14" s="150">
        <f ca="1">OFFSET(IND!AC$25,$E14,0)</f>
        <v>0.70013243639575973</v>
      </c>
      <c r="AA14" s="150">
        <f ca="1">OFFSET(IND!AD$25,$E14,0)</f>
        <v>0.71884874734982329</v>
      </c>
      <c r="AB14" s="150">
        <f ca="1">OFFSET(IND!AE$25,$E14,0)</f>
        <v>0.73939600176678444</v>
      </c>
      <c r="AC14" s="150">
        <f ca="1">OFFSET(IND!AF$25,$E14,0)</f>
        <v>0.76136732332155466</v>
      </c>
      <c r="AD14" s="150">
        <f ca="1">OFFSET(IND!AG$25,$E14,0)</f>
        <v>0.78557646466431097</v>
      </c>
      <c r="AE14" s="150">
        <f ca="1">OFFSET(IND!AH$25,$E14,0)</f>
        <v>0.81049763957597176</v>
      </c>
      <c r="AF14" s="150">
        <f ca="1">OFFSET(IND!AI$25,$E14,0)</f>
        <v>0.83613084805653715</v>
      </c>
      <c r="AG14" s="150">
        <f ca="1">OFFSET(IND!AJ$25,$E14,0)</f>
        <v>0.86206921378091883</v>
      </c>
      <c r="AH14" s="150">
        <f ca="1">OFFSET(IND!AK$25,$E14,0)</f>
        <v>0.8888213321554771</v>
      </c>
      <c r="AI14" s="150">
        <f ca="1">OFFSET(IND!AL$25,$E14,0)</f>
        <v>0.91699751766784465</v>
      </c>
      <c r="AJ14" s="150">
        <f ca="1">OFFSET(IND!AM$25,$E14,0)</f>
        <v>1.0680503533568906</v>
      </c>
      <c r="AK14" s="150">
        <f ca="1">OFFSET(IND!AN$25,$E14,0)</f>
        <v>1.2530773621908129</v>
      </c>
      <c r="AL14" s="150">
        <f ca="1">OFFSET(IND!AO$25,$E14,0)</f>
        <v>1.583494844522976</v>
      </c>
      <c r="AM14" s="150">
        <f ca="1">OFFSET(IND!AP$25,$E14,0)</f>
        <v>1.919574689045944</v>
      </c>
      <c r="AQ14" s="4"/>
    </row>
    <row r="15" spans="1:56">
      <c r="A15" s="36" t="s">
        <v>316</v>
      </c>
      <c r="B15">
        <v>1.059192498941</v>
      </c>
      <c r="E15" s="153">
        <f ca="1">MATCH(F15,IND!$D$26:$D$255,0)</f>
        <v>109</v>
      </c>
      <c r="F15" s="4" t="str">
        <f t="shared" si="0"/>
        <v>ICPK</v>
      </c>
      <c r="G15" s="150">
        <f ca="1">OFFSET(IND!J$25,$E15,0)</f>
        <v>0.55647663194961794</v>
      </c>
      <c r="H15" s="150">
        <f ca="1">OFFSET(IND!K$25,$E15,0)</f>
        <v>0.57228263361453802</v>
      </c>
      <c r="I15" s="150">
        <f ca="1">OFFSET(IND!L$25,$E15,0)</f>
        <v>0.58229310133565393</v>
      </c>
      <c r="J15" s="150">
        <f ca="1">OFFSET(IND!M$25,$E15,0)</f>
        <v>0.63970000000000005</v>
      </c>
      <c r="K15" s="150">
        <f ca="1">OFFSET(IND!N$25,$E15,0)</f>
        <v>0.63970000000000005</v>
      </c>
      <c r="L15" s="150">
        <f ca="1">OFFSET(IND!O$25,$E15,0)</f>
        <v>0.63970000000000005</v>
      </c>
      <c r="M15" s="150">
        <f ca="1">OFFSET(IND!P$25,$E15,0)</f>
        <v>0.64523803886925801</v>
      </c>
      <c r="N15" s="150">
        <f ca="1">OFFSET(IND!Q$25,$E15,0)</f>
        <v>0.6437687632508835</v>
      </c>
      <c r="O15" s="243">
        <f ca="1">OFFSET(IND!R$25,$E15,0)</f>
        <v>0.59189203180212024</v>
      </c>
      <c r="P15" s="150">
        <f ca="1">OFFSET(IND!S$25,$E15,0)</f>
        <v>0.60760197879858668</v>
      </c>
      <c r="Q15" s="150">
        <f ca="1">OFFSET(IND!T$25,$E15,0)</f>
        <v>0.62184265017667861</v>
      </c>
      <c r="R15" s="150">
        <f ca="1">OFFSET(IND!U$25,$E15,0)</f>
        <v>0.63529217314487652</v>
      </c>
      <c r="S15" s="150">
        <f ca="1">OFFSET(IND!V$25,$E15,0)</f>
        <v>0.64817659010600726</v>
      </c>
      <c r="T15" s="243">
        <f ca="1">OFFSET(IND!W$25,$E15,0)</f>
        <v>0.66219121908127232</v>
      </c>
      <c r="U15" s="150">
        <f ca="1">OFFSET(IND!X$25,$E15,0)</f>
        <v>0.68004856890459386</v>
      </c>
      <c r="V15" s="150">
        <f ca="1">OFFSET(IND!Y$25,$E15,0)</f>
        <v>0.69756685512367511</v>
      </c>
      <c r="W15" s="150">
        <f ca="1">OFFSET(IND!Z$25,$E15,0)</f>
        <v>0.7155372261484102</v>
      </c>
      <c r="X15" s="150">
        <f ca="1">OFFSET(IND!AA$25,$E15,0)</f>
        <v>0.73565500000000039</v>
      </c>
      <c r="Y15" s="245">
        <f ca="1">OFFSET(IND!AB$25,$E15,0)</f>
        <v>0.75645090106007107</v>
      </c>
      <c r="Z15" s="150">
        <f ca="1">OFFSET(IND!AC$25,$E15,0)</f>
        <v>0.77792492932862223</v>
      </c>
      <c r="AA15" s="150">
        <f ca="1">OFFSET(IND!AD$25,$E15,0)</f>
        <v>0.7987208303886929</v>
      </c>
      <c r="AB15" s="150">
        <f ca="1">OFFSET(IND!AE$25,$E15,0)</f>
        <v>0.82155111307420525</v>
      </c>
      <c r="AC15" s="150">
        <f ca="1">OFFSET(IND!AF$25,$E15,0)</f>
        <v>0.84596369257950554</v>
      </c>
      <c r="AD15" s="150">
        <f ca="1">OFFSET(IND!AG$25,$E15,0)</f>
        <v>0.87286273851590146</v>
      </c>
      <c r="AE15" s="150">
        <f ca="1">OFFSET(IND!AH$25,$E15,0)</f>
        <v>0.90055293286219129</v>
      </c>
      <c r="AF15" s="150">
        <f ca="1">OFFSET(IND!AI$25,$E15,0)</f>
        <v>0.92903427561837504</v>
      </c>
      <c r="AG15" s="150">
        <f ca="1">OFFSET(IND!AJ$25,$E15,0)</f>
        <v>0.95785468197879908</v>
      </c>
      <c r="AH15" s="150">
        <f ca="1">OFFSET(IND!AK$25,$E15,0)</f>
        <v>0.98757925795053048</v>
      </c>
      <c r="AI15" s="150">
        <f ca="1">OFFSET(IND!AL$25,$E15,0)</f>
        <v>1.01888613074205</v>
      </c>
      <c r="AJ15" s="150">
        <f ca="1">OFFSET(IND!AM$25,$E15,0)</f>
        <v>1.18672261484099</v>
      </c>
      <c r="AK15" s="150">
        <f ca="1">OFFSET(IND!AN$25,$E15,0)</f>
        <v>1.3923081802120147</v>
      </c>
      <c r="AL15" s="150">
        <f ca="1">OFFSET(IND!AO$25,$E15,0)</f>
        <v>1.7594387161366405</v>
      </c>
      <c r="AM15" s="150">
        <f ca="1">OFFSET(IND!AP$25,$E15,0)</f>
        <v>2.1328607656066052</v>
      </c>
      <c r="AQ15" s="4"/>
    </row>
    <row r="16" spans="1:56">
      <c r="A16" s="36" t="s">
        <v>317</v>
      </c>
      <c r="B16">
        <v>0.63551549936469998</v>
      </c>
      <c r="E16" s="153">
        <f ca="1">MATCH(F16,IND!$D$26:$D$255,0)</f>
        <v>111</v>
      </c>
      <c r="F16" s="4" t="str">
        <f t="shared" si="0"/>
        <v>ICPL</v>
      </c>
      <c r="G16" s="150">
        <f ca="1">OFFSET(IND!J$25,$E16,0)</f>
        <v>0.3338859791697707</v>
      </c>
      <c r="H16" s="150">
        <f ca="1">OFFSET(IND!K$25,$E16,0)</f>
        <v>0.34336958016872271</v>
      </c>
      <c r="I16" s="150">
        <f ca="1">OFFSET(IND!L$25,$E16,0)</f>
        <v>0.34937586080139227</v>
      </c>
      <c r="J16" s="150">
        <f ca="1">OFFSET(IND!M$25,$E16,0)</f>
        <v>0.38381999999999999</v>
      </c>
      <c r="K16" s="150">
        <f ca="1">OFFSET(IND!N$25,$E16,0)</f>
        <v>0.38381999999999999</v>
      </c>
      <c r="L16" s="150">
        <f ca="1">OFFSET(IND!O$25,$E16,0)</f>
        <v>0.38381999999999999</v>
      </c>
      <c r="M16" s="150">
        <f ca="1">OFFSET(IND!P$25,$E16,0)</f>
        <v>0.38714282332155475</v>
      </c>
      <c r="N16" s="150">
        <f ca="1">OFFSET(IND!Q$25,$E16,0)</f>
        <v>0.38626125795053001</v>
      </c>
      <c r="O16" s="243">
        <f ca="1">OFFSET(IND!R$25,$E16,0)</f>
        <v>0.35513521908127205</v>
      </c>
      <c r="P16" s="150">
        <f ca="1">OFFSET(IND!S$25,$E16,0)</f>
        <v>0.36456118727915188</v>
      </c>
      <c r="Q16" s="150">
        <f ca="1">OFFSET(IND!T$25,$E16,0)</f>
        <v>0.37310559010600702</v>
      </c>
      <c r="R16" s="150">
        <f ca="1">OFFSET(IND!U$25,$E16,0)</f>
        <v>0.38117530388692572</v>
      </c>
      <c r="S16" s="150">
        <f ca="1">OFFSET(IND!V$25,$E16,0)</f>
        <v>0.38890595406360418</v>
      </c>
      <c r="T16" s="243">
        <f ca="1">OFFSET(IND!W$25,$E16,0)</f>
        <v>0.39731473144876317</v>
      </c>
      <c r="U16" s="150">
        <f ca="1">OFFSET(IND!X$25,$E16,0)</f>
        <v>0.40802914134275609</v>
      </c>
      <c r="V16" s="150">
        <f ca="1">OFFSET(IND!Y$25,$E16,0)</f>
        <v>0.41854011307420486</v>
      </c>
      <c r="W16" s="150">
        <f ca="1">OFFSET(IND!Z$25,$E16,0)</f>
        <v>0.42932233568904593</v>
      </c>
      <c r="X16" s="150">
        <f ca="1">OFFSET(IND!AA$25,$E16,0)</f>
        <v>0.44139300000000004</v>
      </c>
      <c r="Y16" s="245">
        <f ca="1">OFFSET(IND!AB$25,$E16,0)</f>
        <v>0.45387054063604243</v>
      </c>
      <c r="Z16" s="150">
        <f ca="1">OFFSET(IND!AC$25,$E16,0)</f>
        <v>0.46675495759717311</v>
      </c>
      <c r="AA16" s="150">
        <f ca="1">OFFSET(IND!AD$25,$E16,0)</f>
        <v>0.47923249823321551</v>
      </c>
      <c r="AB16" s="150">
        <f ca="1">OFFSET(IND!AE$25,$E16,0)</f>
        <v>0.49293066784452294</v>
      </c>
      <c r="AC16" s="150">
        <f ca="1">OFFSET(IND!AF$25,$E16,0)</f>
        <v>0.5075782155477031</v>
      </c>
      <c r="AD16" s="150">
        <f ca="1">OFFSET(IND!AG$25,$E16,0)</f>
        <v>0.52371764310954072</v>
      </c>
      <c r="AE16" s="150">
        <f ca="1">OFFSET(IND!AH$25,$E16,0)</f>
        <v>0.54033175971731462</v>
      </c>
      <c r="AF16" s="150">
        <f ca="1">OFFSET(IND!AI$25,$E16,0)</f>
        <v>0.5574205653710248</v>
      </c>
      <c r="AG16" s="150">
        <f ca="1">OFFSET(IND!AJ$25,$E16,0)</f>
        <v>0.57471280918727929</v>
      </c>
      <c r="AH16" s="150">
        <f ca="1">OFFSET(IND!AK$25,$E16,0)</f>
        <v>0.59254755477031806</v>
      </c>
      <c r="AI16" s="150">
        <f ca="1">OFFSET(IND!AL$25,$E16,0)</f>
        <v>0.61133167844522984</v>
      </c>
      <c r="AJ16" s="150">
        <f ca="1">OFFSET(IND!AM$25,$E16,0)</f>
        <v>0.71203356890459368</v>
      </c>
      <c r="AK16" s="150">
        <f ca="1">OFFSET(IND!AN$25,$E16,0)</f>
        <v>0.83538490812720845</v>
      </c>
      <c r="AL16" s="150">
        <f ca="1">OFFSET(IND!AO$25,$E16,0)</f>
        <v>1.0556632296819839</v>
      </c>
      <c r="AM16" s="150">
        <f ca="1">OFFSET(IND!AP$25,$E16,0)</f>
        <v>1.2797164593639625</v>
      </c>
      <c r="AQ16" s="4"/>
    </row>
    <row r="17" spans="1:43">
      <c r="A17" s="36" t="s">
        <v>318</v>
      </c>
      <c r="B17">
        <v>8.4735399915289999</v>
      </c>
      <c r="E17" s="153">
        <f ca="1">MATCH(F17,IND!$D$26:$D$255,0)</f>
        <v>116</v>
      </c>
      <c r="F17" s="4" t="str">
        <f t="shared" si="0"/>
        <v>ICPO</v>
      </c>
      <c r="G17" s="150">
        <f ca="1">OFFSET(IND!J$25,$E17,0)</f>
        <v>4.4518130555969435</v>
      </c>
      <c r="H17" s="150">
        <f ca="1">OFFSET(IND!K$25,$E17,0)</f>
        <v>4.5782610689163041</v>
      </c>
      <c r="I17" s="150">
        <f ca="1">OFFSET(IND!L$25,$E17,0)</f>
        <v>4.6583448106852314</v>
      </c>
      <c r="J17" s="150">
        <f ca="1">OFFSET(IND!M$25,$E17,0)</f>
        <v>5.1176000000000004</v>
      </c>
      <c r="K17" s="150">
        <f ca="1">OFFSET(IND!N$25,$E17,0)</f>
        <v>5.1176000000000004</v>
      </c>
      <c r="L17" s="150">
        <f ca="1">OFFSET(IND!O$25,$E17,0)</f>
        <v>5.1176000000000004</v>
      </c>
      <c r="M17" s="150">
        <f ca="1">OFFSET(IND!P$25,$E17,0)</f>
        <v>5.1619043109540641</v>
      </c>
      <c r="N17" s="150">
        <f ca="1">OFFSET(IND!Q$25,$E17,0)</f>
        <v>5.150150106007068</v>
      </c>
      <c r="O17" s="243">
        <f ca="1">OFFSET(IND!R$25,$E17,0)</f>
        <v>4.735136254416962</v>
      </c>
      <c r="P17" s="150">
        <f ca="1">OFFSET(IND!S$25,$E17,0)</f>
        <v>4.8608158303886935</v>
      </c>
      <c r="Q17" s="150">
        <f ca="1">OFFSET(IND!T$25,$E17,0)</f>
        <v>4.9747412014134289</v>
      </c>
      <c r="R17" s="150">
        <f ca="1">OFFSET(IND!U$25,$E17,0)</f>
        <v>5.0823373851590121</v>
      </c>
      <c r="S17" s="150">
        <f ca="1">OFFSET(IND!V$25,$E17,0)</f>
        <v>5.185412720848058</v>
      </c>
      <c r="T17" s="243">
        <f ca="1">OFFSET(IND!W$25,$E17,0)</f>
        <v>5.2975297526501786</v>
      </c>
      <c r="U17" s="150">
        <f ca="1">OFFSET(IND!X$25,$E17,0)</f>
        <v>5.4403885512367509</v>
      </c>
      <c r="V17" s="150">
        <f ca="1">OFFSET(IND!Y$25,$E17,0)</f>
        <v>5.5805348409894009</v>
      </c>
      <c r="W17" s="150">
        <f ca="1">OFFSET(IND!Z$25,$E17,0)</f>
        <v>5.7242978091872816</v>
      </c>
      <c r="X17" s="150">
        <f ca="1">OFFSET(IND!AA$25,$E17,0)</f>
        <v>5.8852400000000031</v>
      </c>
      <c r="Y17" s="245">
        <f ca="1">OFFSET(IND!AB$25,$E17,0)</f>
        <v>6.0516072084805685</v>
      </c>
      <c r="Z17" s="150">
        <f ca="1">OFFSET(IND!AC$25,$E17,0)</f>
        <v>6.2233994346289778</v>
      </c>
      <c r="AA17" s="150">
        <f ca="1">OFFSET(IND!AD$25,$E17,0)</f>
        <v>6.3897666431095432</v>
      </c>
      <c r="AB17" s="150">
        <f ca="1">OFFSET(IND!AE$25,$E17,0)</f>
        <v>6.572408904593642</v>
      </c>
      <c r="AC17" s="150">
        <f ca="1">OFFSET(IND!AF$25,$E17,0)</f>
        <v>6.7677095406360444</v>
      </c>
      <c r="AD17" s="150">
        <f ca="1">OFFSET(IND!AG$25,$E17,0)</f>
        <v>6.9829019081272117</v>
      </c>
      <c r="AE17" s="150">
        <f ca="1">OFFSET(IND!AH$25,$E17,0)</f>
        <v>7.2044234628975303</v>
      </c>
      <c r="AF17" s="150">
        <f ca="1">OFFSET(IND!AI$25,$E17,0)</f>
        <v>7.4322742049470003</v>
      </c>
      <c r="AG17" s="150">
        <f ca="1">OFFSET(IND!AJ$25,$E17,0)</f>
        <v>7.6628374558303927</v>
      </c>
      <c r="AH17" s="150">
        <f ca="1">OFFSET(IND!AK$25,$E17,0)</f>
        <v>7.9006340636042438</v>
      </c>
      <c r="AI17" s="150">
        <f ca="1">OFFSET(IND!AL$25,$E17,0)</f>
        <v>8.1510890459364003</v>
      </c>
      <c r="AJ17" s="150">
        <f ca="1">OFFSET(IND!AM$25,$E17,0)</f>
        <v>9.4937809187279196</v>
      </c>
      <c r="AK17" s="150">
        <f ca="1">OFFSET(IND!AN$25,$E17,0)</f>
        <v>11.138465441696118</v>
      </c>
      <c r="AL17" s="150">
        <f ca="1">OFFSET(IND!AO$25,$E17,0)</f>
        <v>14.075509729093124</v>
      </c>
      <c r="AM17" s="150">
        <f ca="1">OFFSET(IND!AP$25,$E17,0)</f>
        <v>17.062886124852842</v>
      </c>
      <c r="AQ17" s="4"/>
    </row>
    <row r="18" spans="1:43">
      <c r="A18" s="36" t="s">
        <v>319</v>
      </c>
      <c r="B18">
        <v>14.828694985169999</v>
      </c>
      <c r="E18" s="153">
        <f ca="1">MATCH(F18,IND!$D$26:$D$255,0)</f>
        <v>114</v>
      </c>
      <c r="F18" s="4" t="str">
        <f t="shared" si="0"/>
        <v>ICPP</v>
      </c>
      <c r="G18" s="150">
        <f ca="1">OFFSET(IND!J$25,$E18,0)</f>
        <v>7.7906728472946494</v>
      </c>
      <c r="H18" s="150">
        <f ca="1">OFFSET(IND!K$25,$E18,0)</f>
        <v>8.0119568706035302</v>
      </c>
      <c r="I18" s="150">
        <f ca="1">OFFSET(IND!L$25,$E18,0)</f>
        <v>8.1521034186991539</v>
      </c>
      <c r="J18" s="150">
        <f ca="1">OFFSET(IND!M$25,$E18,0)</f>
        <v>8.9558</v>
      </c>
      <c r="K18" s="150">
        <f ca="1">OFFSET(IND!N$25,$E18,0)</f>
        <v>8.9558</v>
      </c>
      <c r="L18" s="150">
        <f ca="1">OFFSET(IND!O$25,$E18,0)</f>
        <v>8.9558</v>
      </c>
      <c r="M18" s="150">
        <f ca="1">OFFSET(IND!P$25,$E18,0)</f>
        <v>9.0333325441696122</v>
      </c>
      <c r="N18" s="150">
        <f ca="1">OFFSET(IND!Q$25,$E18,0)</f>
        <v>9.012762685512369</v>
      </c>
      <c r="O18" s="243">
        <f ca="1">OFFSET(IND!R$25,$E18,0)</f>
        <v>8.2864884452296828</v>
      </c>
      <c r="P18" s="150">
        <f ca="1">OFFSET(IND!S$25,$E18,0)</f>
        <v>8.5064277031802131</v>
      </c>
      <c r="Q18" s="150">
        <f ca="1">OFFSET(IND!T$25,$E18,0)</f>
        <v>8.7057971024734986</v>
      </c>
      <c r="R18" s="150">
        <f ca="1">OFFSET(IND!U$25,$E18,0)</f>
        <v>8.8940904240282688</v>
      </c>
      <c r="S18" s="150">
        <f ca="1">OFFSET(IND!V$25,$E18,0)</f>
        <v>9.0744722614841002</v>
      </c>
      <c r="T18" s="243">
        <f ca="1">OFFSET(IND!W$25,$E18,0)</f>
        <v>9.2706770671378109</v>
      </c>
      <c r="U18" s="150">
        <f ca="1">OFFSET(IND!X$25,$E18,0)</f>
        <v>9.5206799646643123</v>
      </c>
      <c r="V18" s="150">
        <f ca="1">OFFSET(IND!Y$25,$E18,0)</f>
        <v>9.7659359717314498</v>
      </c>
      <c r="W18" s="150">
        <f ca="1">OFFSET(IND!Z$25,$E18,0)</f>
        <v>10.01752116607774</v>
      </c>
      <c r="X18" s="150">
        <f ca="1">OFFSET(IND!AA$25,$E18,0)</f>
        <v>10.299170000000004</v>
      </c>
      <c r="Y18" s="245">
        <f ca="1">OFFSET(IND!AB$25,$E18,0)</f>
        <v>10.590312614840993</v>
      </c>
      <c r="Z18" s="150">
        <f ca="1">OFFSET(IND!AC$25,$E18,0)</f>
        <v>10.890949010600709</v>
      </c>
      <c r="AA18" s="150">
        <f ca="1">OFFSET(IND!AD$25,$E18,0)</f>
        <v>11.182091625441698</v>
      </c>
      <c r="AB18" s="150">
        <f ca="1">OFFSET(IND!AE$25,$E18,0)</f>
        <v>11.501715583038871</v>
      </c>
      <c r="AC18" s="150">
        <f ca="1">OFFSET(IND!AF$25,$E18,0)</f>
        <v>11.843491696113075</v>
      </c>
      <c r="AD18" s="150">
        <f ca="1">OFFSET(IND!AG$25,$E18,0)</f>
        <v>12.220078339222619</v>
      </c>
      <c r="AE18" s="150">
        <f ca="1">OFFSET(IND!AH$25,$E18,0)</f>
        <v>12.607741060070676</v>
      </c>
      <c r="AF18" s="150">
        <f ca="1">OFFSET(IND!AI$25,$E18,0)</f>
        <v>13.006479858657249</v>
      </c>
      <c r="AG18" s="150">
        <f ca="1">OFFSET(IND!AJ$25,$E18,0)</f>
        <v>13.409965547703186</v>
      </c>
      <c r="AH18" s="150">
        <f ca="1">OFFSET(IND!AK$25,$E18,0)</f>
        <v>13.826109611307425</v>
      </c>
      <c r="AI18" s="150">
        <f ca="1">OFFSET(IND!AL$25,$E18,0)</f>
        <v>14.264405830388698</v>
      </c>
      <c r="AJ18" s="150">
        <f ca="1">OFFSET(IND!AM$25,$E18,0)</f>
        <v>16.614116607773855</v>
      </c>
      <c r="AK18" s="150">
        <f ca="1">OFFSET(IND!AN$25,$E18,0)</f>
        <v>19.492314522968201</v>
      </c>
      <c r="AL18" s="150">
        <f ca="1">OFFSET(IND!AO$25,$E18,0)</f>
        <v>24.632142025912959</v>
      </c>
      <c r="AM18" s="150">
        <f ca="1">OFFSET(IND!AP$25,$E18,0)</f>
        <v>29.86005071849246</v>
      </c>
      <c r="AQ18" s="4"/>
    </row>
    <row r="19" spans="1:43">
      <c r="A19" s="36" t="s">
        <v>320</v>
      </c>
      <c r="B19">
        <v>32.941303389589997</v>
      </c>
      <c r="E19" s="153">
        <f ca="1">MATCH(F19,IND!$D$26:$D$255,0)</f>
        <v>119</v>
      </c>
      <c r="F19" s="4" t="str">
        <f t="shared" si="0"/>
        <v>ICPS</v>
      </c>
      <c r="G19" s="150">
        <f ca="1">OFFSET(IND!J$25,$E19,0)</f>
        <v>27.288197120140854</v>
      </c>
      <c r="H19" s="150">
        <f ca="1">OFFSET(IND!K$25,$E19,0)</f>
        <v>28.063283196266802</v>
      </c>
      <c r="I19" s="150">
        <f ca="1">OFFSET(IND!L$25,$E19,0)</f>
        <v>28.554171044479897</v>
      </c>
      <c r="J19" s="150">
        <f ca="1">OFFSET(IND!M$25,$E19,0)</f>
        <v>20.990606000000003</v>
      </c>
      <c r="K19" s="150">
        <f ca="1">OFFSET(IND!N$25,$E19,0)</f>
        <v>20.990606000000003</v>
      </c>
      <c r="L19" s="150">
        <f ca="1">OFFSET(IND!O$25,$E19,0)</f>
        <v>20.990606000000003</v>
      </c>
      <c r="M19" s="150">
        <f ca="1">OFFSET(IND!P$25,$E19,0)</f>
        <v>21.172326793992937</v>
      </c>
      <c r="N19" s="150">
        <f ca="1">OFFSET(IND!Q$25,$E19,0)</f>
        <v>21.124115154770323</v>
      </c>
      <c r="O19" s="243">
        <f ca="1">OFFSET(IND!R$25,$E19,0)</f>
        <v>19.421873431448766</v>
      </c>
      <c r="P19" s="150">
        <f ca="1">OFFSET(IND!S$25,$E19,0)</f>
        <v>19.937367112367493</v>
      </c>
      <c r="Q19" s="150">
        <f ca="1">OFFSET(IND!T$25,$E19,0)</f>
        <v>20.404649154063605</v>
      </c>
      <c r="R19" s="150">
        <f ca="1">OFFSET(IND!U$25,$E19,0)</f>
        <v>20.845971082332156</v>
      </c>
      <c r="S19" s="150">
        <f ca="1">OFFSET(IND!V$25,$E19,0)</f>
        <v>21.268750072438163</v>
      </c>
      <c r="T19" s="243">
        <f ca="1">OFFSET(IND!W$25,$E19,0)</f>
        <v>21.72861493886926</v>
      </c>
      <c r="U19" s="150">
        <f ca="1">OFFSET(IND!X$25,$E19,0)</f>
        <v>22.314571784805654</v>
      </c>
      <c r="V19" s="150">
        <f ca="1">OFFSET(IND!Y$25,$E19,0)</f>
        <v>22.889402867844524</v>
      </c>
      <c r="W19" s="150">
        <f ca="1">OFFSET(IND!Z$25,$E19,0)</f>
        <v>23.479068301413431</v>
      </c>
      <c r="X19" s="150">
        <f ca="1">OFFSET(IND!AA$25,$E19,0)</f>
        <v>24.139196900000005</v>
      </c>
      <c r="Y19" s="245">
        <f ca="1">OFFSET(IND!AB$25,$E19,0)</f>
        <v>24.821577024381629</v>
      </c>
      <c r="Z19" s="150">
        <f ca="1">OFFSET(IND!AC$25,$E19,0)</f>
        <v>25.526208674558305</v>
      </c>
      <c r="AA19" s="150">
        <f ca="1">OFFSET(IND!AD$25,$E19,0)</f>
        <v>26.208588798939932</v>
      </c>
      <c r="AB19" s="150">
        <f ca="1">OFFSET(IND!AE$25,$E19,0)</f>
        <v>26.957723500706717</v>
      </c>
      <c r="AC19" s="150">
        <f ca="1">OFFSET(IND!AF$25,$E19,0)</f>
        <v>27.758778429328622</v>
      </c>
      <c r="AD19" s="150">
        <f ca="1">OFFSET(IND!AG$25,$E19,0)</f>
        <v>28.64142228586573</v>
      </c>
      <c r="AE19" s="150">
        <f ca="1">OFFSET(IND!AH$25,$E19,0)</f>
        <v>29.550026255830396</v>
      </c>
      <c r="AF19" s="150">
        <f ca="1">OFFSET(IND!AI$25,$E19,0)</f>
        <v>30.484590339222621</v>
      </c>
      <c r="AG19" s="150">
        <f ca="1">OFFSET(IND!AJ$25,$E19,0)</f>
        <v>31.430280185512373</v>
      </c>
      <c r="AH19" s="150">
        <f ca="1">OFFSET(IND!AK$25,$E19,0)</f>
        <v>32.405638732862194</v>
      </c>
      <c r="AI19" s="150">
        <f ca="1">OFFSET(IND!AL$25,$E19,0)</f>
        <v>33.432917507067145</v>
      </c>
      <c r="AJ19" s="150">
        <f ca="1">OFFSET(IND!AM$25,$E19,0)</f>
        <v>38.940170141342762</v>
      </c>
      <c r="AK19" s="150">
        <f ca="1">OFFSET(IND!AN$25,$E19,0)</f>
        <v>45.686091044876328</v>
      </c>
      <c r="AL19" s="150">
        <f ca="1">OFFSET(IND!AO$25,$E19,0)</f>
        <v>57.732819871142802</v>
      </c>
      <c r="AM19" s="150">
        <f ca="1">OFFSET(IND!AP$25,$E19,0)</f>
        <v>69.985993408951984</v>
      </c>
      <c r="AQ19" s="4"/>
    </row>
    <row r="20" spans="1:43">
      <c r="A20" s="36" t="s">
        <v>321</v>
      </c>
      <c r="B20">
        <v>39.685391397639997</v>
      </c>
      <c r="E20" s="153">
        <f ca="1">MATCH(F20,IND!$D$26:$D$255,0)</f>
        <v>126</v>
      </c>
      <c r="F20" s="4" t="str">
        <f t="shared" si="0"/>
        <v>ICPT</v>
      </c>
      <c r="G20" s="150">
        <f ca="1">OFFSET(IND!J$25,$E20,0)</f>
        <v>39.004000030517574</v>
      </c>
      <c r="H20" s="150">
        <f ca="1">OFFSET(IND!K$25,$E20,0)</f>
        <v>40.11185839154345</v>
      </c>
      <c r="I20" s="150">
        <f ca="1">OFFSET(IND!L$25,$E20,0)</f>
        <v>40.813502020193162</v>
      </c>
      <c r="J20" s="150">
        <f ca="1">OFFSET(IND!M$25,$E20,0)</f>
        <v>49.996000000000002</v>
      </c>
      <c r="K20" s="150">
        <f ca="1">OFFSET(IND!N$25,$E20,0)</f>
        <v>49.996000000000002</v>
      </c>
      <c r="L20" s="150">
        <f ca="1">OFFSET(IND!O$25,$E20,0)</f>
        <v>49.996000000000002</v>
      </c>
      <c r="M20" s="150">
        <f ca="1">OFFSET(IND!P$25,$E20,0)</f>
        <v>50.428827561837458</v>
      </c>
      <c r="N20" s="150">
        <f ca="1">OFFSET(IND!Q$25,$E20,0)</f>
        <v>50.313995759717315</v>
      </c>
      <c r="O20" s="243">
        <f ca="1">OFFSET(IND!R$25,$E20,0)</f>
        <v>46.259549823321549</v>
      </c>
      <c r="P20" s="150">
        <f ca="1">OFFSET(IND!S$25,$E20,0)</f>
        <v>47.487366784452291</v>
      </c>
      <c r="Q20" s="150">
        <f ca="1">OFFSET(IND!T$25,$E20,0)</f>
        <v>48.60035194346289</v>
      </c>
      <c r="R20" s="150">
        <f ca="1">OFFSET(IND!U$25,$E20,0)</f>
        <v>49.651504593639565</v>
      </c>
      <c r="S20" s="150">
        <f ca="1">OFFSET(IND!V$25,$E20,0)</f>
        <v>50.658491166077731</v>
      </c>
      <c r="T20" s="243">
        <f ca="1">OFFSET(IND!W$25,$E20,0)</f>
        <v>51.753809893992923</v>
      </c>
      <c r="U20" s="150">
        <f ca="1">OFFSET(IND!X$25,$E20,0)</f>
        <v>53.149457950530021</v>
      </c>
      <c r="V20" s="150">
        <f ca="1">OFFSET(IND!Y$25,$E20,0)</f>
        <v>54.518606360424009</v>
      </c>
      <c r="W20" s="150">
        <f ca="1">OFFSET(IND!Z$25,$E20,0)</f>
        <v>55.923087632508825</v>
      </c>
      <c r="X20" s="150">
        <f ca="1">OFFSET(IND!AA$25,$E20,0)</f>
        <v>57.495399999999997</v>
      </c>
      <c r="Y20" s="245">
        <f ca="1">OFFSET(IND!AB$25,$E20,0)</f>
        <v>59.120711660777381</v>
      </c>
      <c r="Z20" s="150">
        <f ca="1">OFFSET(IND!AC$25,$E20,0)</f>
        <v>60.799022614840979</v>
      </c>
      <c r="AA20" s="150">
        <f ca="1">OFFSET(IND!AD$25,$E20,0)</f>
        <v>62.424334275618364</v>
      </c>
      <c r="AB20" s="150">
        <f ca="1">OFFSET(IND!AE$25,$E20,0)</f>
        <v>64.208643816254408</v>
      </c>
      <c r="AC20" s="150">
        <f ca="1">OFFSET(IND!AF$25,$E20,0)</f>
        <v>66.116618374558286</v>
      </c>
      <c r="AD20" s="150">
        <f ca="1">OFFSET(IND!AG$25,$E20,0)</f>
        <v>68.218923674911665</v>
      </c>
      <c r="AE20" s="150">
        <f ca="1">OFFSET(IND!AH$25,$E20,0)</f>
        <v>70.383061484098945</v>
      </c>
      <c r="AF20" s="150">
        <f ca="1">OFFSET(IND!AI$25,$E20,0)</f>
        <v>72.609031802120143</v>
      </c>
      <c r="AG20" s="150">
        <f ca="1">OFFSET(IND!AJ$25,$E20,0)</f>
        <v>74.861501766784457</v>
      </c>
      <c r="AH20" s="150">
        <f ca="1">OFFSET(IND!AK$25,$E20,0)</f>
        <v>77.184637455830384</v>
      </c>
      <c r="AI20" s="150">
        <f ca="1">OFFSET(IND!AL$25,$E20,0)</f>
        <v>79.631438162544171</v>
      </c>
      <c r="AJ20" s="150">
        <f ca="1">OFFSET(IND!AM$25,$E20,0)</f>
        <v>92.748763250883385</v>
      </c>
      <c r="AK20" s="150">
        <f ca="1">OFFSET(IND!AN$25,$E20,0)</f>
        <v>108.81638233215547</v>
      </c>
      <c r="AL20" s="150">
        <f ca="1">OFFSET(IND!AO$25,$E20,0)</f>
        <v>137.50961083627863</v>
      </c>
      <c r="AM20" s="150">
        <f ca="1">OFFSET(IND!AP$25,$E20,0)</f>
        <v>166.69455500588992</v>
      </c>
      <c r="AQ20" s="4"/>
    </row>
    <row r="21" spans="1:43">
      <c r="A21" s="36" t="s">
        <v>322</v>
      </c>
      <c r="B21">
        <v>5.3061366499999998E-2</v>
      </c>
      <c r="E21" s="153">
        <f ca="1">MATCH(F21,IND!$D$26:$D$255,0)</f>
        <v>169</v>
      </c>
      <c r="F21" s="4" t="str">
        <f t="shared" si="0"/>
        <v>IFBA</v>
      </c>
      <c r="G21" s="150">
        <f ca="1">OFFSET(IND!J$25,$E21,0)</f>
        <v>3.1931633262906718E-2</v>
      </c>
      <c r="H21" s="150">
        <f ca="1">OFFSET(IND!K$25,$E21,0)</f>
        <v>3.2518132649368273E-2</v>
      </c>
      <c r="I21" s="150">
        <f ca="1">OFFSET(IND!L$25,$E21,0)</f>
        <v>3.294000062910378E-2</v>
      </c>
      <c r="J21" s="150">
        <f ca="1">OFFSET(IND!M$25,$E21,0)</f>
        <v>2.9904000000000003E-2</v>
      </c>
      <c r="K21" s="150">
        <f ca="1">OFFSET(IND!N$25,$E21,0)</f>
        <v>2.9904000000000003E-2</v>
      </c>
      <c r="L21" s="150">
        <f ca="1">OFFSET(IND!O$25,$E21,0)</f>
        <v>2.9904000000000003E-2</v>
      </c>
      <c r="M21" s="150">
        <f ca="1">OFFSET(IND!P$25,$E21,0)</f>
        <v>3.0108842858603421E-2</v>
      </c>
      <c r="N21" s="150">
        <f ca="1">OFFSET(IND!Q$25,$E21,0)</f>
        <v>2.9873426439014417E-2</v>
      </c>
      <c r="O21" s="243">
        <f ca="1">OFFSET(IND!R$25,$E21,0)</f>
        <v>2.836920723852367E-2</v>
      </c>
      <c r="P21" s="150">
        <f ca="1">OFFSET(IND!S$25,$E21,0)</f>
        <v>2.9222209590021468E-2</v>
      </c>
      <c r="Q21" s="150">
        <f ca="1">OFFSET(IND!T$25,$E21,0)</f>
        <v>3.0001835395153865E-2</v>
      </c>
      <c r="R21" s="150">
        <f ca="1">OFFSET(IND!U$25,$E21,0)</f>
        <v>3.064082281975258E-2</v>
      </c>
      <c r="S21" s="150">
        <f ca="1">OFFSET(IND!V$25,$E21,0)</f>
        <v>3.1240064615070031E-2</v>
      </c>
      <c r="T21" s="243">
        <f ca="1">OFFSET(IND!W$25,$E21,0)</f>
        <v>3.18821093957673E-2</v>
      </c>
      <c r="U21" s="150">
        <f ca="1">OFFSET(IND!X$25,$E21,0)</f>
        <v>3.276262795215213E-2</v>
      </c>
      <c r="V21" s="150">
        <f ca="1">OFFSET(IND!Y$25,$E21,0)</f>
        <v>3.360034352315714E-2</v>
      </c>
      <c r="W21" s="150">
        <f ca="1">OFFSET(IND!Z$25,$E21,0)</f>
        <v>3.4441116450260711E-2</v>
      </c>
      <c r="X21" s="150">
        <f ca="1">OFFSET(IND!AA$25,$E21,0)</f>
        <v>3.5226856967590224E-2</v>
      </c>
      <c r="Y21" s="245">
        <f ca="1">OFFSET(IND!AB$25,$E21,0)</f>
        <v>3.6027884265412528E-2</v>
      </c>
      <c r="Z21" s="150">
        <f ca="1">OFFSET(IND!AC$25,$E21,0)</f>
        <v>3.6822796851037717E-2</v>
      </c>
      <c r="AA21" s="150">
        <f ca="1">OFFSET(IND!AD$25,$E21,0)</f>
        <v>3.7559619670790294E-2</v>
      </c>
      <c r="AB21" s="150">
        <f ca="1">OFFSET(IND!AE$25,$E21,0)</f>
        <v>3.8360646968612605E-2</v>
      </c>
      <c r="AC21" s="150">
        <f ca="1">OFFSET(IND!AF$25,$E21,0)</f>
        <v>3.9198362539617622E-2</v>
      </c>
      <c r="AD21" s="150">
        <f ca="1">OFFSET(IND!AG$25,$E21,0)</f>
        <v>4.0054422247213978E-2</v>
      </c>
      <c r="AE21" s="150">
        <f ca="1">OFFSET(IND!AH$25,$E21,0)</f>
        <v>4.1005259993865659E-2</v>
      </c>
      <c r="AF21" s="150">
        <f ca="1">OFFSET(IND!AI$25,$E21,0)</f>
        <v>4.1986671301502923E-2</v>
      </c>
      <c r="AG21" s="150">
        <f ca="1">OFFSET(IND!AJ$25,$E21,0)</f>
        <v>4.2952795828647382E-2</v>
      </c>
      <c r="AH21" s="150">
        <f ca="1">OFFSET(IND!AK$25,$E21,0)</f>
        <v>4.3940321848481748E-2</v>
      </c>
      <c r="AI21" s="150">
        <f ca="1">OFFSET(IND!AL$25,$E21,0)</f>
        <v>4.4970650853695934E-2</v>
      </c>
      <c r="AJ21" s="150">
        <f ca="1">OFFSET(IND!AM$25,$E21,0)</f>
        <v>5.0143697372456789E-2</v>
      </c>
      <c r="AK21" s="150">
        <f ca="1">OFFSET(IND!AN$25,$E21,0)</f>
        <v>5.6374589101318866E-2</v>
      </c>
      <c r="AL21" s="150">
        <f ca="1">OFFSET(IND!AO$25,$E21,0)</f>
        <v>6.7602219813924766E-2</v>
      </c>
      <c r="AM21" s="150">
        <f ca="1">OFFSET(IND!AP$25,$E21,0)</f>
        <v>7.900615806154776E-2</v>
      </c>
      <c r="AQ21" s="4"/>
    </row>
    <row r="22" spans="1:43">
      <c r="A22" s="36" t="s">
        <v>323</v>
      </c>
      <c r="B22">
        <v>12.204114317089999</v>
      </c>
      <c r="E22" s="153">
        <f ca="1">MATCH(F22,IND!$D$26:$D$255,0)</f>
        <v>171</v>
      </c>
      <c r="F22" s="4" t="str">
        <f t="shared" si="0"/>
        <v>IFBC</v>
      </c>
      <c r="G22" s="150">
        <f ca="1">OFFSET(IND!J$25,$E22,0)</f>
        <v>7.3442756504685454</v>
      </c>
      <c r="H22" s="150">
        <f ca="1">OFFSET(IND!K$25,$E22,0)</f>
        <v>7.4791705093547023</v>
      </c>
      <c r="I22" s="150">
        <f ca="1">OFFSET(IND!L$25,$E22,0)</f>
        <v>7.5762001446938685</v>
      </c>
      <c r="J22" s="150">
        <f ca="1">OFFSET(IND!M$25,$E22,0)</f>
        <v>6.8779200000000005</v>
      </c>
      <c r="K22" s="150">
        <f ca="1">OFFSET(IND!N$25,$E22,0)</f>
        <v>6.8779200000000005</v>
      </c>
      <c r="L22" s="150">
        <f ca="1">OFFSET(IND!O$25,$E22,0)</f>
        <v>6.8779200000000005</v>
      </c>
      <c r="M22" s="150">
        <f ca="1">OFFSET(IND!P$25,$E22,0)</f>
        <v>6.9250338574787866</v>
      </c>
      <c r="N22" s="150">
        <f ca="1">OFFSET(IND!Q$25,$E22,0)</f>
        <v>6.8708880809733159</v>
      </c>
      <c r="O22" s="243">
        <f ca="1">OFFSET(IND!R$25,$E22,0)</f>
        <v>6.5249176648604443</v>
      </c>
      <c r="P22" s="150">
        <f ca="1">OFFSET(IND!S$25,$E22,0)</f>
        <v>6.7211082057049376</v>
      </c>
      <c r="Q22" s="150">
        <f ca="1">OFFSET(IND!T$25,$E22,0)</f>
        <v>6.9004221408853894</v>
      </c>
      <c r="R22" s="150">
        <f ca="1">OFFSET(IND!U$25,$E22,0)</f>
        <v>7.0473892485430936</v>
      </c>
      <c r="S22" s="150">
        <f ca="1">OFFSET(IND!V$25,$E22,0)</f>
        <v>7.1852148614661075</v>
      </c>
      <c r="T22" s="243">
        <f ca="1">OFFSET(IND!W$25,$E22,0)</f>
        <v>7.3328851610264794</v>
      </c>
      <c r="U22" s="150">
        <f ca="1">OFFSET(IND!X$25,$E22,0)</f>
        <v>7.5354044289949895</v>
      </c>
      <c r="V22" s="150">
        <f ca="1">OFFSET(IND!Y$25,$E22,0)</f>
        <v>7.7280790103261419</v>
      </c>
      <c r="W22" s="150">
        <f ca="1">OFFSET(IND!Z$25,$E22,0)</f>
        <v>7.9214567835599627</v>
      </c>
      <c r="X22" s="150">
        <f ca="1">OFFSET(IND!AA$25,$E22,0)</f>
        <v>8.1021771025457507</v>
      </c>
      <c r="Y22" s="245">
        <f ca="1">OFFSET(IND!AB$25,$E22,0)</f>
        <v>8.2864133810448806</v>
      </c>
      <c r="Z22" s="150">
        <f ca="1">OFFSET(IND!AC$25,$E22,0)</f>
        <v>8.4692432757386733</v>
      </c>
      <c r="AA22" s="150">
        <f ca="1">OFFSET(IND!AD$25,$E22,0)</f>
        <v>8.6387125242817664</v>
      </c>
      <c r="AB22" s="150">
        <f ca="1">OFFSET(IND!AE$25,$E22,0)</f>
        <v>8.822948802780898</v>
      </c>
      <c r="AC22" s="150">
        <f ca="1">OFFSET(IND!AF$25,$E22,0)</f>
        <v>9.0156233841120521</v>
      </c>
      <c r="AD22" s="150">
        <f ca="1">OFFSET(IND!AG$25,$E22,0)</f>
        <v>9.2125171168592139</v>
      </c>
      <c r="AE22" s="150">
        <f ca="1">OFFSET(IND!AH$25,$E22,0)</f>
        <v>9.4312097985890997</v>
      </c>
      <c r="AF22" s="150">
        <f ca="1">OFFSET(IND!AI$25,$E22,0)</f>
        <v>9.6569343993456691</v>
      </c>
      <c r="AG22" s="150">
        <f ca="1">OFFSET(IND!AJ$25,$E22,0)</f>
        <v>9.8791430405888949</v>
      </c>
      <c r="AH22" s="150">
        <f ca="1">OFFSET(IND!AK$25,$E22,0)</f>
        <v>10.1062740251508</v>
      </c>
      <c r="AI22" s="150">
        <f ca="1">OFFSET(IND!AL$25,$E22,0)</f>
        <v>10.343249696350062</v>
      </c>
      <c r="AJ22" s="150">
        <f ca="1">OFFSET(IND!AM$25,$E22,0)</f>
        <v>11.533050395665059</v>
      </c>
      <c r="AK22" s="150">
        <f ca="1">OFFSET(IND!AN$25,$E22,0)</f>
        <v>12.966155493303336</v>
      </c>
      <c r="AL22" s="150">
        <f ca="1">OFFSET(IND!AO$25,$E22,0)</f>
        <v>15.548510557202693</v>
      </c>
      <c r="AM22" s="150">
        <f ca="1">OFFSET(IND!AP$25,$E22,0)</f>
        <v>18.171416354155983</v>
      </c>
      <c r="AQ22" s="4"/>
    </row>
    <row r="23" spans="1:43">
      <c r="A23" s="36" t="s">
        <v>324</v>
      </c>
      <c r="B23" t="s">
        <v>387</v>
      </c>
      <c r="E23" s="153">
        <f ca="1">MATCH(F23,IND!$D$26:$D$255,0)</f>
        <v>176</v>
      </c>
      <c r="F23" s="4" t="str">
        <f t="shared" si="0"/>
        <v>IFBE</v>
      </c>
      <c r="G23" s="150">
        <f ca="1">OFFSET(IND!J$25,$E23,0)</f>
        <v>0</v>
      </c>
      <c r="H23" s="150">
        <f ca="1">OFFSET(IND!K$25,$E23,0)</f>
        <v>0</v>
      </c>
      <c r="I23" s="150">
        <f ca="1">OFFSET(IND!L$25,$E23,0)</f>
        <v>0</v>
      </c>
      <c r="J23" s="150">
        <f ca="1">OFFSET(IND!M$25,$E23,0)</f>
        <v>0</v>
      </c>
      <c r="K23" s="150">
        <f ca="1">OFFSET(IND!N$25,$E23,0)</f>
        <v>0</v>
      </c>
      <c r="L23" s="150">
        <f ca="1">OFFSET(IND!O$25,$E23,0)</f>
        <v>0</v>
      </c>
      <c r="M23" s="150">
        <f ca="1">OFFSET(IND!P$25,$E23,0)</f>
        <v>0</v>
      </c>
      <c r="N23" s="150">
        <f ca="1">OFFSET(IND!Q$25,$E23,0)</f>
        <v>0</v>
      </c>
      <c r="O23" s="243">
        <f ca="1">OFFSET(IND!R$25,$E23,0)</f>
        <v>0</v>
      </c>
      <c r="P23" s="150">
        <f ca="1">OFFSET(IND!S$25,$E23,0)</f>
        <v>0</v>
      </c>
      <c r="Q23" s="150">
        <f ca="1">OFFSET(IND!T$25,$E23,0)</f>
        <v>0</v>
      </c>
      <c r="R23" s="150">
        <f ca="1">OFFSET(IND!U$25,$E23,0)</f>
        <v>0</v>
      </c>
      <c r="S23" s="150">
        <f ca="1">OFFSET(IND!V$25,$E23,0)</f>
        <v>0</v>
      </c>
      <c r="T23" s="243">
        <f ca="1">OFFSET(IND!W$25,$E23,0)</f>
        <v>0</v>
      </c>
      <c r="U23" s="150">
        <f ca="1">OFFSET(IND!X$25,$E23,0)</f>
        <v>0</v>
      </c>
      <c r="V23" s="150">
        <f ca="1">OFFSET(IND!Y$25,$E23,0)</f>
        <v>0</v>
      </c>
      <c r="W23" s="150">
        <f ca="1">OFFSET(IND!Z$25,$E23,0)</f>
        <v>0</v>
      </c>
      <c r="X23" s="150">
        <f ca="1">OFFSET(IND!AA$25,$E23,0)</f>
        <v>0</v>
      </c>
      <c r="Y23" s="245">
        <f ca="1">OFFSET(IND!AB$25,$E23,0)</f>
        <v>0</v>
      </c>
      <c r="Z23" s="150">
        <f ca="1">OFFSET(IND!AC$25,$E23,0)</f>
        <v>0</v>
      </c>
      <c r="AA23" s="150">
        <f ca="1">OFFSET(IND!AD$25,$E23,0)</f>
        <v>0</v>
      </c>
      <c r="AB23" s="150">
        <f ca="1">OFFSET(IND!AE$25,$E23,0)</f>
        <v>0</v>
      </c>
      <c r="AC23" s="150">
        <f ca="1">OFFSET(IND!AF$25,$E23,0)</f>
        <v>0</v>
      </c>
      <c r="AD23" s="150">
        <f ca="1">OFFSET(IND!AG$25,$E23,0)</f>
        <v>0</v>
      </c>
      <c r="AE23" s="150">
        <f ca="1">OFFSET(IND!AH$25,$E23,0)</f>
        <v>0</v>
      </c>
      <c r="AF23" s="150">
        <f ca="1">OFFSET(IND!AI$25,$E23,0)</f>
        <v>0</v>
      </c>
      <c r="AG23" s="150">
        <f ca="1">OFFSET(IND!AJ$25,$E23,0)</f>
        <v>0</v>
      </c>
      <c r="AH23" s="150">
        <f ca="1">OFFSET(IND!AK$25,$E23,0)</f>
        <v>0</v>
      </c>
      <c r="AI23" s="150">
        <f ca="1">OFFSET(IND!AL$25,$E23,0)</f>
        <v>0</v>
      </c>
      <c r="AJ23" s="150">
        <f ca="1">OFFSET(IND!AM$25,$E23,0)</f>
        <v>0</v>
      </c>
      <c r="AK23" s="150">
        <f ca="1">OFFSET(IND!AN$25,$E23,0)</f>
        <v>0</v>
      </c>
      <c r="AL23" s="150">
        <f ca="1">OFFSET(IND!AO$25,$E23,0)</f>
        <v>0</v>
      </c>
      <c r="AM23" s="150">
        <f ca="1">OFFSET(IND!AP$25,$E23,0)</f>
        <v>0</v>
      </c>
      <c r="AQ23" s="4"/>
    </row>
    <row r="24" spans="1:43">
      <c r="A24" s="36" t="s">
        <v>325</v>
      </c>
      <c r="B24">
        <v>0.84898186553730004</v>
      </c>
      <c r="E24" s="153">
        <f ca="1">MATCH(F24,IND!$D$26:$D$255,0)</f>
        <v>174</v>
      </c>
      <c r="F24" s="4" t="str">
        <f t="shared" si="0"/>
        <v>IFBF</v>
      </c>
      <c r="G24" s="150">
        <f ca="1">OFFSET(IND!J$25,$E24,0)</f>
        <v>0.51090613220650749</v>
      </c>
      <c r="H24" s="150">
        <f ca="1">OFFSET(IND!K$25,$E24,0)</f>
        <v>0.52029012238989236</v>
      </c>
      <c r="I24" s="150">
        <f ca="1">OFFSET(IND!L$25,$E24,0)</f>
        <v>0.52704001006566048</v>
      </c>
      <c r="J24" s="150">
        <f ca="1">OFFSET(IND!M$25,$E24,0)</f>
        <v>0.47846400000000006</v>
      </c>
      <c r="K24" s="150">
        <f ca="1">OFFSET(IND!N$25,$E24,0)</f>
        <v>0.47846400000000006</v>
      </c>
      <c r="L24" s="150">
        <f ca="1">OFFSET(IND!O$25,$E24,0)</f>
        <v>0.47846400000000006</v>
      </c>
      <c r="M24" s="150">
        <f ca="1">OFFSET(IND!P$25,$E24,0)</f>
        <v>0.48174148573765474</v>
      </c>
      <c r="N24" s="150">
        <f ca="1">OFFSET(IND!Q$25,$E24,0)</f>
        <v>0.47797482302423067</v>
      </c>
      <c r="O24" s="243">
        <f ca="1">OFFSET(IND!R$25,$E24,0)</f>
        <v>0.45390731581637872</v>
      </c>
      <c r="P24" s="150">
        <f ca="1">OFFSET(IND!S$25,$E24,0)</f>
        <v>0.46755535344034349</v>
      </c>
      <c r="Q24" s="150">
        <f ca="1">OFFSET(IND!T$25,$E24,0)</f>
        <v>0.48002936632246185</v>
      </c>
      <c r="R24" s="150">
        <f ca="1">OFFSET(IND!U$25,$E24,0)</f>
        <v>0.49025316511604128</v>
      </c>
      <c r="S24" s="150">
        <f ca="1">OFFSET(IND!V$25,$E24,0)</f>
        <v>0.4998410338411205</v>
      </c>
      <c r="T24" s="243">
        <f ca="1">OFFSET(IND!W$25,$E24,0)</f>
        <v>0.51011375033227679</v>
      </c>
      <c r="U24" s="150">
        <f ca="1">OFFSET(IND!X$25,$E24,0)</f>
        <v>0.52420204723443409</v>
      </c>
      <c r="V24" s="150">
        <f ca="1">OFFSET(IND!Y$25,$E24,0)</f>
        <v>0.53760549637051425</v>
      </c>
      <c r="W24" s="150">
        <f ca="1">OFFSET(IND!Z$25,$E24,0)</f>
        <v>0.55105786320417138</v>
      </c>
      <c r="X24" s="150">
        <f ca="1">OFFSET(IND!AA$25,$E24,0)</f>
        <v>0.56362971148144358</v>
      </c>
      <c r="Y24" s="245">
        <f ca="1">OFFSET(IND!AB$25,$E24,0)</f>
        <v>0.57644614824660045</v>
      </c>
      <c r="Z24" s="150">
        <f ca="1">OFFSET(IND!AC$25,$E24,0)</f>
        <v>0.58916474961660348</v>
      </c>
      <c r="AA24" s="150">
        <f ca="1">OFFSET(IND!AD$25,$E24,0)</f>
        <v>0.6009539147326447</v>
      </c>
      <c r="AB24" s="150">
        <f ca="1">OFFSET(IND!AE$25,$E24,0)</f>
        <v>0.61377035149780168</v>
      </c>
      <c r="AC24" s="150">
        <f ca="1">OFFSET(IND!AF$25,$E24,0)</f>
        <v>0.62717380063388195</v>
      </c>
      <c r="AD24" s="150">
        <f ca="1">OFFSET(IND!AG$25,$E24,0)</f>
        <v>0.64087075595542364</v>
      </c>
      <c r="AE24" s="150">
        <f ca="1">OFFSET(IND!AH$25,$E24,0)</f>
        <v>0.65608415990185054</v>
      </c>
      <c r="AF24" s="150">
        <f ca="1">OFFSET(IND!AI$25,$E24,0)</f>
        <v>0.67178674082404677</v>
      </c>
      <c r="AG24" s="150">
        <f ca="1">OFFSET(IND!AJ$25,$E24,0)</f>
        <v>0.68724473325835811</v>
      </c>
      <c r="AH24" s="150">
        <f ca="1">OFFSET(IND!AK$25,$E24,0)</f>
        <v>0.70304514957570796</v>
      </c>
      <c r="AI24" s="150">
        <f ca="1">OFFSET(IND!AL$25,$E24,0)</f>
        <v>0.71953041365913495</v>
      </c>
      <c r="AJ24" s="150">
        <f ca="1">OFFSET(IND!AM$25,$E24,0)</f>
        <v>0.80229915795930862</v>
      </c>
      <c r="AK24" s="150">
        <f ca="1">OFFSET(IND!AN$25,$E24,0)</f>
        <v>0.90199342562110185</v>
      </c>
      <c r="AL24" s="150">
        <f ca="1">OFFSET(IND!AO$25,$E24,0)</f>
        <v>1.0816355170227963</v>
      </c>
      <c r="AM24" s="150">
        <f ca="1">OFFSET(IND!AP$25,$E24,0)</f>
        <v>1.2640985289847642</v>
      </c>
      <c r="AQ24" s="4"/>
    </row>
    <row r="25" spans="1:43">
      <c r="A25" s="36" t="s">
        <v>326</v>
      </c>
      <c r="B25">
        <v>1.432656898094</v>
      </c>
      <c r="E25" s="153">
        <f ca="1">MATCH(F25,IND!$D$26:$D$255,0)</f>
        <v>172</v>
      </c>
      <c r="F25" s="4" t="str">
        <f t="shared" si="0"/>
        <v>IFBH</v>
      </c>
      <c r="G25" s="150">
        <f ca="1">OFFSET(IND!J$25,$E25,0)</f>
        <v>0.86215409809848131</v>
      </c>
      <c r="H25" s="150">
        <f ca="1">OFFSET(IND!K$25,$E25,0)</f>
        <v>0.87798958153294326</v>
      </c>
      <c r="I25" s="150">
        <f ca="1">OFFSET(IND!L$25,$E25,0)</f>
        <v>0.88938001698580194</v>
      </c>
      <c r="J25" s="150">
        <f ca="1">OFFSET(IND!M$25,$E25,0)</f>
        <v>0.8074079999999999</v>
      </c>
      <c r="K25" s="150">
        <f ca="1">OFFSET(IND!N$25,$E25,0)</f>
        <v>0.8074079999999999</v>
      </c>
      <c r="L25" s="150">
        <f ca="1">OFFSET(IND!O$25,$E25,0)</f>
        <v>0.8074079999999999</v>
      </c>
      <c r="M25" s="150">
        <f ca="1">OFFSET(IND!P$25,$E25,0)</f>
        <v>0.81293875718229214</v>
      </c>
      <c r="N25" s="150">
        <f ca="1">OFFSET(IND!Q$25,$E25,0)</f>
        <v>0.80658251385338908</v>
      </c>
      <c r="O25" s="243">
        <f ca="1">OFFSET(IND!R$25,$E25,0)</f>
        <v>0.76596859544013896</v>
      </c>
      <c r="P25" s="150">
        <f ca="1">OFFSET(IND!S$25,$E25,0)</f>
        <v>0.78899965893057955</v>
      </c>
      <c r="Q25" s="150">
        <f ca="1">OFFSET(IND!T$25,$E25,0)</f>
        <v>0.81004955566915426</v>
      </c>
      <c r="R25" s="150">
        <f ca="1">OFFSET(IND!U$25,$E25,0)</f>
        <v>0.82730221613331956</v>
      </c>
      <c r="S25" s="150">
        <f ca="1">OFFSET(IND!V$25,$E25,0)</f>
        <v>0.84348174460689074</v>
      </c>
      <c r="T25" s="243">
        <f ca="1">OFFSET(IND!W$25,$E25,0)</f>
        <v>0.86081695368571698</v>
      </c>
      <c r="U25" s="150">
        <f ca="1">OFFSET(IND!X$25,$E25,0)</f>
        <v>0.88459095470810734</v>
      </c>
      <c r="V25" s="150">
        <f ca="1">OFFSET(IND!Y$25,$E25,0)</f>
        <v>0.90720927512524252</v>
      </c>
      <c r="W25" s="150">
        <f ca="1">OFFSET(IND!Z$25,$E25,0)</f>
        <v>0.92991014415703888</v>
      </c>
      <c r="X25" s="150">
        <f ca="1">OFFSET(IND!AA$25,$E25,0)</f>
        <v>0.95112513812493571</v>
      </c>
      <c r="Y25" s="245">
        <f ca="1">OFFSET(IND!AB$25,$E25,0)</f>
        <v>0.97275287516613795</v>
      </c>
      <c r="Z25" s="150">
        <f ca="1">OFFSET(IND!AC$25,$E25,0)</f>
        <v>0.99421551497801797</v>
      </c>
      <c r="AA25" s="150">
        <f ca="1">OFFSET(IND!AD$25,$E25,0)</f>
        <v>1.0141097311113376</v>
      </c>
      <c r="AB25" s="150">
        <f ca="1">OFFSET(IND!AE$25,$E25,0)</f>
        <v>1.03573746815254</v>
      </c>
      <c r="AC25" s="150">
        <f ca="1">OFFSET(IND!AF$25,$E25,0)</f>
        <v>1.0583557885696755</v>
      </c>
      <c r="AD25" s="150">
        <f ca="1">OFFSET(IND!AG$25,$E25,0)</f>
        <v>1.0814694006747771</v>
      </c>
      <c r="AE25" s="150">
        <f ca="1">OFFSET(IND!AH$25,$E25,0)</f>
        <v>1.1071420198343724</v>
      </c>
      <c r="AF25" s="150">
        <f ca="1">OFFSET(IND!AI$25,$E25,0)</f>
        <v>1.1336401251405785</v>
      </c>
      <c r="AG25" s="150">
        <f ca="1">OFFSET(IND!AJ$25,$E25,0)</f>
        <v>1.159725487373479</v>
      </c>
      <c r="AH25" s="150">
        <f ca="1">OFFSET(IND!AK$25,$E25,0)</f>
        <v>1.186388689909007</v>
      </c>
      <c r="AI25" s="150">
        <f ca="1">OFFSET(IND!AL$25,$E25,0)</f>
        <v>1.2142075730497901</v>
      </c>
      <c r="AJ25" s="150">
        <f ca="1">OFFSET(IND!AM$25,$E25,0)</f>
        <v>1.3538798290563332</v>
      </c>
      <c r="AK25" s="150">
        <f ca="1">OFFSET(IND!AN$25,$E25,0)</f>
        <v>1.5221139057356092</v>
      </c>
      <c r="AL25" s="150">
        <f ca="1">OFFSET(IND!AO$25,$E25,0)</f>
        <v>1.8252599349759686</v>
      </c>
      <c r="AM25" s="150">
        <f ca="1">OFFSET(IND!AP$25,$E25,0)</f>
        <v>2.1331662676617893</v>
      </c>
      <c r="AQ25" s="4"/>
    </row>
    <row r="26" spans="1:43">
      <c r="A26" s="36" t="s">
        <v>327</v>
      </c>
      <c r="B26">
        <v>1.857147830862</v>
      </c>
      <c r="E26" s="153">
        <f ca="1">MATCH(F26,IND!$D$26:$D$255,0)</f>
        <v>168</v>
      </c>
      <c r="F26" s="4" t="str">
        <f t="shared" si="0"/>
        <v>IFBK</v>
      </c>
      <c r="G26" s="150">
        <f ca="1">OFFSET(IND!J$25,$E26,0)</f>
        <v>1.1176071642017353</v>
      </c>
      <c r="H26" s="150">
        <f ca="1">OFFSET(IND!K$25,$E26,0)</f>
        <v>1.1381346427278896</v>
      </c>
      <c r="I26" s="150">
        <f ca="1">OFFSET(IND!L$25,$E26,0)</f>
        <v>1.1529000220186323</v>
      </c>
      <c r="J26" s="150">
        <f ca="1">OFFSET(IND!M$25,$E26,0)</f>
        <v>1.04664</v>
      </c>
      <c r="K26" s="150">
        <f ca="1">OFFSET(IND!N$25,$E26,0)</f>
        <v>1.04664</v>
      </c>
      <c r="L26" s="150">
        <f ca="1">OFFSET(IND!O$25,$E26,0)</f>
        <v>1.04664</v>
      </c>
      <c r="M26" s="150">
        <f ca="1">OFFSET(IND!P$25,$E26,0)</f>
        <v>1.0538095000511196</v>
      </c>
      <c r="N26" s="150">
        <f ca="1">OFFSET(IND!Q$25,$E26,0)</f>
        <v>1.0455699253655044</v>
      </c>
      <c r="O26" s="243">
        <f ca="1">OFFSET(IND!R$25,$E26,0)</f>
        <v>0.99292225334832829</v>
      </c>
      <c r="P26" s="150">
        <f ca="1">OFFSET(IND!S$25,$E26,0)</f>
        <v>1.0227773356507512</v>
      </c>
      <c r="Q26" s="150">
        <f ca="1">OFFSET(IND!T$25,$E26,0)</f>
        <v>1.0500642388303851</v>
      </c>
      <c r="R26" s="150">
        <f ca="1">OFFSET(IND!U$25,$E26,0)</f>
        <v>1.0724287986913401</v>
      </c>
      <c r="S26" s="150">
        <f ca="1">OFFSET(IND!V$25,$E26,0)</f>
        <v>1.093402261527451</v>
      </c>
      <c r="T26" s="243">
        <f ca="1">OFFSET(IND!W$25,$E26,0)</f>
        <v>1.1158738288518555</v>
      </c>
      <c r="U26" s="150">
        <f ca="1">OFFSET(IND!X$25,$E26,0)</f>
        <v>1.1466919783253244</v>
      </c>
      <c r="V26" s="150">
        <f ca="1">OFFSET(IND!Y$25,$E26,0)</f>
        <v>1.1760120233104998</v>
      </c>
      <c r="W26" s="150">
        <f ca="1">OFFSET(IND!Z$25,$E26,0)</f>
        <v>1.2054390757591247</v>
      </c>
      <c r="X26" s="150">
        <f ca="1">OFFSET(IND!AA$25,$E26,0)</f>
        <v>1.2329399938656576</v>
      </c>
      <c r="Y26" s="245">
        <f ca="1">OFFSET(IND!AB$25,$E26,0)</f>
        <v>1.2609759492894383</v>
      </c>
      <c r="Z26" s="150">
        <f ca="1">OFFSET(IND!AC$25,$E26,0)</f>
        <v>1.2887978897863199</v>
      </c>
      <c r="AA26" s="150">
        <f ca="1">OFFSET(IND!AD$25,$E26,0)</f>
        <v>1.3145866884776602</v>
      </c>
      <c r="AB26" s="150">
        <f ca="1">OFFSET(IND!AE$25,$E26,0)</f>
        <v>1.342622643901441</v>
      </c>
      <c r="AC26" s="150">
        <f ca="1">OFFSET(IND!AF$25,$E26,0)</f>
        <v>1.3719426888866166</v>
      </c>
      <c r="AD26" s="150">
        <f ca="1">OFFSET(IND!AG$25,$E26,0)</f>
        <v>1.4019047786524892</v>
      </c>
      <c r="AE26" s="150">
        <f ca="1">OFFSET(IND!AH$25,$E26,0)</f>
        <v>1.435184099785298</v>
      </c>
      <c r="AF26" s="150">
        <f ca="1">OFFSET(IND!AI$25,$E26,0)</f>
        <v>1.4695334955526023</v>
      </c>
      <c r="AG26" s="150">
        <f ca="1">OFFSET(IND!AJ$25,$E26,0)</f>
        <v>1.5033478540026584</v>
      </c>
      <c r="AH26" s="150">
        <f ca="1">OFFSET(IND!AK$25,$E26,0)</f>
        <v>1.5379112646968611</v>
      </c>
      <c r="AI26" s="150">
        <f ca="1">OFFSET(IND!AL$25,$E26,0)</f>
        <v>1.5739727798793577</v>
      </c>
      <c r="AJ26" s="150">
        <f ca="1">OFFSET(IND!AM$25,$E26,0)</f>
        <v>1.7550294080359876</v>
      </c>
      <c r="AK26" s="150">
        <f ca="1">OFFSET(IND!AN$25,$E26,0)</f>
        <v>1.9731106185461602</v>
      </c>
      <c r="AL26" s="150">
        <f ca="1">OFFSET(IND!AO$25,$E26,0)</f>
        <v>2.3660776934873669</v>
      </c>
      <c r="AM26" s="150">
        <f ca="1">OFFSET(IND!AP$25,$E26,0)</f>
        <v>2.7652155321541718</v>
      </c>
      <c r="AQ26" s="4"/>
    </row>
    <row r="27" spans="1:43">
      <c r="A27" s="36" t="s">
        <v>328</v>
      </c>
      <c r="B27">
        <v>0.39796024947059999</v>
      </c>
      <c r="E27" s="153">
        <f ca="1">MATCH(F27,IND!$D$26:$D$255,0)</f>
        <v>170</v>
      </c>
      <c r="F27" s="4" t="str">
        <f t="shared" si="0"/>
        <v>IFBL</v>
      </c>
      <c r="G27" s="150">
        <f ca="1">OFFSET(IND!J$25,$E27,0)</f>
        <v>0.23948724947180039</v>
      </c>
      <c r="H27" s="150">
        <f ca="1">OFFSET(IND!K$25,$E27,0)</f>
        <v>0.24388599487026202</v>
      </c>
      <c r="I27" s="150">
        <f ca="1">OFFSET(IND!L$25,$E27,0)</f>
        <v>0.24705000471827832</v>
      </c>
      <c r="J27" s="150">
        <f ca="1">OFFSET(IND!M$25,$E27,0)</f>
        <v>0.22428000000000001</v>
      </c>
      <c r="K27" s="150">
        <f ca="1">OFFSET(IND!N$25,$E27,0)</f>
        <v>0.22428000000000001</v>
      </c>
      <c r="L27" s="150">
        <f ca="1">OFFSET(IND!O$25,$E27,0)</f>
        <v>0.22428000000000001</v>
      </c>
      <c r="M27" s="150">
        <f ca="1">OFFSET(IND!P$25,$E27,0)</f>
        <v>0.22581632143952562</v>
      </c>
      <c r="N27" s="150">
        <f ca="1">OFFSET(IND!Q$25,$E27,0)</f>
        <v>0.2240506982926081</v>
      </c>
      <c r="O27" s="243">
        <f ca="1">OFFSET(IND!R$25,$E27,0)</f>
        <v>0.21276905428892751</v>
      </c>
      <c r="P27" s="150">
        <f ca="1">OFFSET(IND!S$25,$E27,0)</f>
        <v>0.21916657192516098</v>
      </c>
      <c r="Q27" s="150">
        <f ca="1">OFFSET(IND!T$25,$E27,0)</f>
        <v>0.22501376546365395</v>
      </c>
      <c r="R27" s="150">
        <f ca="1">OFFSET(IND!U$25,$E27,0)</f>
        <v>0.22980617114814431</v>
      </c>
      <c r="S27" s="150">
        <f ca="1">OFFSET(IND!V$25,$E27,0)</f>
        <v>0.23430048461302519</v>
      </c>
      <c r="T27" s="243">
        <f ca="1">OFFSET(IND!W$25,$E27,0)</f>
        <v>0.23911582046825472</v>
      </c>
      <c r="U27" s="150">
        <f ca="1">OFFSET(IND!X$25,$E27,0)</f>
        <v>0.24571970964114093</v>
      </c>
      <c r="V27" s="150">
        <f ca="1">OFFSET(IND!Y$25,$E27,0)</f>
        <v>0.25200257642367851</v>
      </c>
      <c r="W27" s="150">
        <f ca="1">OFFSET(IND!Z$25,$E27,0)</f>
        <v>0.25830837337695528</v>
      </c>
      <c r="X27" s="150">
        <f ca="1">OFFSET(IND!AA$25,$E27,0)</f>
        <v>0.26420142725692664</v>
      </c>
      <c r="Y27" s="245">
        <f ca="1">OFFSET(IND!AB$25,$E27,0)</f>
        <v>0.27020913199059393</v>
      </c>
      <c r="Z27" s="150">
        <f ca="1">OFFSET(IND!AC$25,$E27,0)</f>
        <v>0.27617097638278282</v>
      </c>
      <c r="AA27" s="150">
        <f ca="1">OFFSET(IND!AD$25,$E27,0)</f>
        <v>0.28169714753092717</v>
      </c>
      <c r="AB27" s="150">
        <f ca="1">OFFSET(IND!AE$25,$E27,0)</f>
        <v>0.28770485226459452</v>
      </c>
      <c r="AC27" s="150">
        <f ca="1">OFFSET(IND!AF$25,$E27,0)</f>
        <v>0.29398771904713217</v>
      </c>
      <c r="AD27" s="150">
        <f ca="1">OFFSET(IND!AG$25,$E27,0)</f>
        <v>0.30040816685410487</v>
      </c>
      <c r="AE27" s="150">
        <f ca="1">OFFSET(IND!AH$25,$E27,0)</f>
        <v>0.30753944995399246</v>
      </c>
      <c r="AF27" s="150">
        <f ca="1">OFFSET(IND!AI$25,$E27,0)</f>
        <v>0.31490003476127193</v>
      </c>
      <c r="AG27" s="150">
        <f ca="1">OFFSET(IND!AJ$25,$E27,0)</f>
        <v>0.3221459687148554</v>
      </c>
      <c r="AH27" s="150">
        <f ca="1">OFFSET(IND!AK$25,$E27,0)</f>
        <v>0.32955241386361317</v>
      </c>
      <c r="AI27" s="150">
        <f ca="1">OFFSET(IND!AL$25,$E27,0)</f>
        <v>0.33727988140271958</v>
      </c>
      <c r="AJ27" s="150">
        <f ca="1">OFFSET(IND!AM$25,$E27,0)</f>
        <v>0.376077730293426</v>
      </c>
      <c r="AK27" s="150">
        <f ca="1">OFFSET(IND!AN$25,$E27,0)</f>
        <v>0.4228094182598916</v>
      </c>
      <c r="AL27" s="150">
        <f ca="1">OFFSET(IND!AO$25,$E27,0)</f>
        <v>0.50701664860443585</v>
      </c>
      <c r="AM27" s="150">
        <f ca="1">OFFSET(IND!AP$25,$E27,0)</f>
        <v>0.59254618546160831</v>
      </c>
      <c r="AQ27" s="4"/>
    </row>
    <row r="28" spans="1:43">
      <c r="A28" s="36" t="s">
        <v>329</v>
      </c>
      <c r="B28">
        <v>4.45715479407</v>
      </c>
      <c r="E28" s="153">
        <f ca="1">MATCH(F28,IND!$D$26:$D$255,0)</f>
        <v>175</v>
      </c>
      <c r="F28" s="4" t="str">
        <f t="shared" si="0"/>
        <v>IFBO</v>
      </c>
      <c r="G28" s="150">
        <f ca="1">OFFSET(IND!J$25,$E28,0)</f>
        <v>2.6822571940841642</v>
      </c>
      <c r="H28" s="150">
        <f ca="1">OFFSET(IND!K$25,$E28,0)</f>
        <v>2.7315231425469344</v>
      </c>
      <c r="I28" s="150">
        <f ca="1">OFFSET(IND!L$25,$E28,0)</f>
        <v>2.7669600528447171</v>
      </c>
      <c r="J28" s="150">
        <f ca="1">OFFSET(IND!M$25,$E28,0)</f>
        <v>2.5119360000000004</v>
      </c>
      <c r="K28" s="150">
        <f ca="1">OFFSET(IND!N$25,$E28,0)</f>
        <v>2.5119360000000004</v>
      </c>
      <c r="L28" s="150">
        <f ca="1">OFFSET(IND!O$25,$E28,0)</f>
        <v>2.5119360000000004</v>
      </c>
      <c r="M28" s="150">
        <f ca="1">OFFSET(IND!P$25,$E28,0)</f>
        <v>2.5291428001226874</v>
      </c>
      <c r="N28" s="150">
        <f ca="1">OFFSET(IND!Q$25,$E28,0)</f>
        <v>2.5093678208772112</v>
      </c>
      <c r="O28" s="243">
        <f ca="1">OFFSET(IND!R$25,$E28,0)</f>
        <v>2.3830134080359886</v>
      </c>
      <c r="P28" s="150">
        <f ca="1">OFFSET(IND!S$25,$E28,0)</f>
        <v>2.4546656055618037</v>
      </c>
      <c r="Q28" s="150">
        <f ca="1">OFFSET(IND!T$25,$E28,0)</f>
        <v>2.5201541731929251</v>
      </c>
      <c r="R28" s="150">
        <f ca="1">OFFSET(IND!U$25,$E28,0)</f>
        <v>2.5738291168592169</v>
      </c>
      <c r="S28" s="150">
        <f ca="1">OFFSET(IND!V$25,$E28,0)</f>
        <v>2.6241654276658828</v>
      </c>
      <c r="T28" s="243">
        <f ca="1">OFFSET(IND!W$25,$E28,0)</f>
        <v>2.6780971892444536</v>
      </c>
      <c r="U28" s="150">
        <f ca="1">OFFSET(IND!X$25,$E28,0)</f>
        <v>2.7520607479807793</v>
      </c>
      <c r="V28" s="150">
        <f ca="1">OFFSET(IND!Y$25,$E28,0)</f>
        <v>2.8224288559452</v>
      </c>
      <c r="W28" s="150">
        <f ca="1">OFFSET(IND!Z$25,$E28,0)</f>
        <v>2.8930537818218998</v>
      </c>
      <c r="X28" s="150">
        <f ca="1">OFFSET(IND!AA$25,$E28,0)</f>
        <v>2.9590559852775788</v>
      </c>
      <c r="Y28" s="245">
        <f ca="1">OFFSET(IND!AB$25,$E28,0)</f>
        <v>3.0263422782946527</v>
      </c>
      <c r="Z28" s="150">
        <f ca="1">OFFSET(IND!AC$25,$E28,0)</f>
        <v>3.0931149354871685</v>
      </c>
      <c r="AA28" s="150">
        <f ca="1">OFFSET(IND!AD$25,$E28,0)</f>
        <v>3.155008052346385</v>
      </c>
      <c r="AB28" s="150">
        <f ca="1">OFFSET(IND!AE$25,$E28,0)</f>
        <v>3.2222943453634594</v>
      </c>
      <c r="AC28" s="150">
        <f ca="1">OFFSET(IND!AF$25,$E28,0)</f>
        <v>3.2926624533278805</v>
      </c>
      <c r="AD28" s="150">
        <f ca="1">OFFSET(IND!AG$25,$E28,0)</f>
        <v>3.3645714687659747</v>
      </c>
      <c r="AE28" s="150">
        <f ca="1">OFFSET(IND!AH$25,$E28,0)</f>
        <v>3.4444418394847158</v>
      </c>
      <c r="AF28" s="150">
        <f ca="1">OFFSET(IND!AI$25,$E28,0)</f>
        <v>3.5268803893262457</v>
      </c>
      <c r="AG28" s="150">
        <f ca="1">OFFSET(IND!AJ$25,$E28,0)</f>
        <v>3.6080348496063803</v>
      </c>
      <c r="AH28" s="150">
        <f ca="1">OFFSET(IND!AK$25,$E28,0)</f>
        <v>3.6909870352724674</v>
      </c>
      <c r="AI28" s="150">
        <f ca="1">OFFSET(IND!AL$25,$E28,0)</f>
        <v>3.7775346717104594</v>
      </c>
      <c r="AJ28" s="150">
        <f ca="1">OFFSET(IND!AM$25,$E28,0)</f>
        <v>4.2120705792863715</v>
      </c>
      <c r="AK28" s="150">
        <f ca="1">OFFSET(IND!AN$25,$E28,0)</f>
        <v>4.7354654845107857</v>
      </c>
      <c r="AL28" s="150">
        <f ca="1">OFFSET(IND!AO$25,$E28,0)</f>
        <v>5.6785864643696815</v>
      </c>
      <c r="AM28" s="150">
        <f ca="1">OFFSET(IND!AP$25,$E28,0)</f>
        <v>6.6365172771700136</v>
      </c>
      <c r="AQ28" s="4"/>
    </row>
    <row r="29" spans="1:43">
      <c r="A29" s="36" t="s">
        <v>330</v>
      </c>
      <c r="B29">
        <v>5.9428730587610001</v>
      </c>
      <c r="E29" s="153">
        <f ca="1">MATCH(F29,IND!$D$26:$D$255,0)</f>
        <v>173</v>
      </c>
      <c r="F29" s="4" t="str">
        <f t="shared" si="0"/>
        <v>IFBP</v>
      </c>
      <c r="G29" s="150">
        <f ca="1">OFFSET(IND!J$25,$E29,0)</f>
        <v>3.576342925445553</v>
      </c>
      <c r="H29" s="150">
        <f ca="1">OFFSET(IND!K$25,$E29,0)</f>
        <v>3.6420308567292468</v>
      </c>
      <c r="I29" s="150">
        <f ca="1">OFFSET(IND!L$25,$E29,0)</f>
        <v>3.6892800704596236</v>
      </c>
      <c r="J29" s="150">
        <f ca="1">OFFSET(IND!M$25,$E29,0)</f>
        <v>3.3492480000000002</v>
      </c>
      <c r="K29" s="150">
        <f ca="1">OFFSET(IND!N$25,$E29,0)</f>
        <v>3.3492480000000002</v>
      </c>
      <c r="L29" s="150">
        <f ca="1">OFFSET(IND!O$25,$E29,0)</f>
        <v>3.3492480000000002</v>
      </c>
      <c r="M29" s="150">
        <f ca="1">OFFSET(IND!P$25,$E29,0)</f>
        <v>3.372190400163583</v>
      </c>
      <c r="N29" s="150">
        <f ca="1">OFFSET(IND!Q$25,$E29,0)</f>
        <v>3.3458237611696147</v>
      </c>
      <c r="O29" s="243">
        <f ca="1">OFFSET(IND!R$25,$E29,0)</f>
        <v>3.1773512107146513</v>
      </c>
      <c r="P29" s="150">
        <f ca="1">OFFSET(IND!S$25,$E29,0)</f>
        <v>3.2728874740824048</v>
      </c>
      <c r="Q29" s="150">
        <f ca="1">OFFSET(IND!T$25,$E29,0)</f>
        <v>3.3602055642572335</v>
      </c>
      <c r="R29" s="150">
        <f ca="1">OFFSET(IND!U$25,$E29,0)</f>
        <v>3.4317721558122893</v>
      </c>
      <c r="S29" s="150">
        <f ca="1">OFFSET(IND!V$25,$E29,0)</f>
        <v>3.4988872368878439</v>
      </c>
      <c r="T29" s="243">
        <f ca="1">OFFSET(IND!W$25,$E29,0)</f>
        <v>3.570796252325938</v>
      </c>
      <c r="U29" s="150">
        <f ca="1">OFFSET(IND!X$25,$E29,0)</f>
        <v>3.6694143306410387</v>
      </c>
      <c r="V29" s="150">
        <f ca="1">OFFSET(IND!Y$25,$E29,0)</f>
        <v>3.7632384745935998</v>
      </c>
      <c r="W29" s="150">
        <f ca="1">OFFSET(IND!Z$25,$E29,0)</f>
        <v>3.8574050424291997</v>
      </c>
      <c r="X29" s="150">
        <f ca="1">OFFSET(IND!AA$25,$E29,0)</f>
        <v>3.945407980370105</v>
      </c>
      <c r="Y29" s="245">
        <f ca="1">OFFSET(IND!AB$25,$E29,0)</f>
        <v>4.0351230377262031</v>
      </c>
      <c r="Z29" s="150">
        <f ca="1">OFFSET(IND!AC$25,$E29,0)</f>
        <v>4.1241532473162241</v>
      </c>
      <c r="AA29" s="150">
        <f ca="1">OFFSET(IND!AD$25,$E29,0)</f>
        <v>4.2066774031285128</v>
      </c>
      <c r="AB29" s="150">
        <f ca="1">OFFSET(IND!AE$25,$E29,0)</f>
        <v>4.2963924604846113</v>
      </c>
      <c r="AC29" s="150">
        <f ca="1">OFFSET(IND!AF$25,$E29,0)</f>
        <v>4.3902166044371729</v>
      </c>
      <c r="AD29" s="150">
        <f ca="1">OFFSET(IND!AG$25,$E29,0)</f>
        <v>4.4860952916879651</v>
      </c>
      <c r="AE29" s="150">
        <f ca="1">OFFSET(IND!AH$25,$E29,0)</f>
        <v>4.5925891193129527</v>
      </c>
      <c r="AF29" s="150">
        <f ca="1">OFFSET(IND!AI$25,$E29,0)</f>
        <v>4.7025071857683258</v>
      </c>
      <c r="AG29" s="150">
        <f ca="1">OFFSET(IND!AJ$25,$E29,0)</f>
        <v>4.8107131328085053</v>
      </c>
      <c r="AH29" s="150">
        <f ca="1">OFFSET(IND!AK$25,$E29,0)</f>
        <v>4.9213160470299542</v>
      </c>
      <c r="AI29" s="150">
        <f ca="1">OFFSET(IND!AL$25,$E29,0)</f>
        <v>5.0367128956139435</v>
      </c>
      <c r="AJ29" s="150">
        <f ca="1">OFFSET(IND!AM$25,$E29,0)</f>
        <v>5.6160941057151597</v>
      </c>
      <c r="AK29" s="150">
        <f ca="1">OFFSET(IND!AN$25,$E29,0)</f>
        <v>6.313953979347712</v>
      </c>
      <c r="AL29" s="150">
        <f ca="1">OFFSET(IND!AO$25,$E29,0)</f>
        <v>7.5714486191595727</v>
      </c>
      <c r="AM29" s="150">
        <f ca="1">OFFSET(IND!AP$25,$E29,0)</f>
        <v>8.8486897028933473</v>
      </c>
      <c r="AQ29" s="4"/>
    </row>
    <row r="30" spans="1:43">
      <c r="A30" s="36" t="s">
        <v>331</v>
      </c>
      <c r="B30">
        <v>28.205650466129999</v>
      </c>
      <c r="E30" s="153">
        <f ca="1">MATCH(F30,IND!$D$26:$D$255,0)</f>
        <v>178</v>
      </c>
      <c r="F30" s="4" t="str">
        <f t="shared" si="0"/>
        <v>IFBS</v>
      </c>
      <c r="G30" s="150">
        <f ca="1">OFFSET(IND!J$25,$E30,0)</f>
        <v>20.421862032418336</v>
      </c>
      <c r="H30" s="150">
        <f ca="1">OFFSET(IND!K$25,$E30,0)</f>
        <v>20.79695745750357</v>
      </c>
      <c r="I30" s="150">
        <f ca="1">OFFSET(IND!L$25,$E30,0)</f>
        <v>21.066762938705232</v>
      </c>
      <c r="J30" s="150">
        <f ca="1">OFFSET(IND!M$25,$E30,0)</f>
        <v>6.8922304000000008</v>
      </c>
      <c r="K30" s="150">
        <f ca="1">OFFSET(IND!N$25,$E30,0)</f>
        <v>6.8922304000000008</v>
      </c>
      <c r="L30" s="150">
        <f ca="1">OFFSET(IND!O$25,$E30,0)</f>
        <v>6.8922304000000008</v>
      </c>
      <c r="M30" s="150">
        <f ca="1">OFFSET(IND!P$25,$E30,0)</f>
        <v>6.9394422839382486</v>
      </c>
      <c r="N30" s="150">
        <f ca="1">OFFSET(IND!Q$25,$E30,0)</f>
        <v>6.8851838501584703</v>
      </c>
      <c r="O30" s="243">
        <f ca="1">OFFSET(IND!R$25,$E30,0)</f>
        <v>6.5384935979552194</v>
      </c>
      <c r="P30" s="150">
        <f ca="1">OFFSET(IND!S$25,$E30,0)</f>
        <v>6.7350923385338914</v>
      </c>
      <c r="Q30" s="150">
        <f ca="1">OFFSET(IND!T$25,$E30,0)</f>
        <v>6.9147793594928935</v>
      </c>
      <c r="R30" s="150">
        <f ca="1">OFFSET(IND!U$25,$E30,0)</f>
        <v>7.0620522511808606</v>
      </c>
      <c r="S30" s="150">
        <f ca="1">OFFSET(IND!V$25,$E30,0)</f>
        <v>7.2001646280748384</v>
      </c>
      <c r="T30" s="243">
        <f ca="1">OFFSET(IND!W$25,$E30,0)</f>
        <v>7.3481421747469575</v>
      </c>
      <c r="U30" s="150">
        <f ca="1">OFFSET(IND!X$25,$E30,0)</f>
        <v>7.551082810183007</v>
      </c>
      <c r="V30" s="150">
        <f ca="1">OFFSET(IND!Y$25,$E30,0)</f>
        <v>7.7441582758409151</v>
      </c>
      <c r="W30" s="150">
        <f ca="1">OFFSET(IND!Z$25,$E30,0)</f>
        <v>7.9379383964829771</v>
      </c>
      <c r="X30" s="150">
        <f ca="1">OFFSET(IND!AA$25,$E30,0)</f>
        <v>8.1190347274102841</v>
      </c>
      <c r="Y30" s="245">
        <f ca="1">OFFSET(IND!AB$25,$E30,0)</f>
        <v>8.3036543332583559</v>
      </c>
      <c r="Z30" s="150">
        <f ca="1">OFFSET(IND!AC$25,$E30,0)</f>
        <v>8.4868646291381218</v>
      </c>
      <c r="AA30" s="150">
        <f ca="1">OFFSET(IND!AD$25,$E30,0)</f>
        <v>8.6566864803189816</v>
      </c>
      <c r="AB30" s="150">
        <f ca="1">OFFSET(IND!AE$25,$E30,0)</f>
        <v>8.8413060861670552</v>
      </c>
      <c r="AC30" s="150">
        <f ca="1">OFFSET(IND!AF$25,$E30,0)</f>
        <v>9.0343815518249642</v>
      </c>
      <c r="AD30" s="150">
        <f ca="1">OFFSET(IND!AG$25,$E30,0)</f>
        <v>9.2316849473877891</v>
      </c>
      <c r="AE30" s="150">
        <f ca="1">OFFSET(IND!AH$25,$E30,0)</f>
        <v>9.4508326474593574</v>
      </c>
      <c r="AF30" s="150">
        <f ca="1">OFFSET(IND!AI$25,$E30,0)</f>
        <v>9.6770268973724551</v>
      </c>
      <c r="AG30" s="150">
        <f ca="1">OFFSET(IND!AJ$25,$E30,0)</f>
        <v>9.8996978723647864</v>
      </c>
      <c r="AH30" s="150">
        <f ca="1">OFFSET(IND!AK$25,$E30,0)</f>
        <v>10.127301432246188</v>
      </c>
      <c r="AI30" s="150">
        <f ca="1">OFFSET(IND!AL$25,$E30,0)</f>
        <v>10.364770161905732</v>
      </c>
      <c r="AJ30" s="150">
        <f ca="1">OFFSET(IND!AM$25,$E30,0)</f>
        <v>11.55704639509252</v>
      </c>
      <c r="AK30" s="150">
        <f ca="1">OFFSET(IND!AN$25,$E30,0)</f>
        <v>12.99313325279623</v>
      </c>
      <c r="AL30" s="150">
        <f ca="1">OFFSET(IND!AO$25,$E30,0)</f>
        <v>15.580861239600539</v>
      </c>
      <c r="AM30" s="150">
        <f ca="1">OFFSET(IND!AP$25,$E30,0)</f>
        <v>18.209224330491054</v>
      </c>
      <c r="AQ30" s="4"/>
    </row>
    <row r="31" spans="1:43">
      <c r="A31" s="36" t="s">
        <v>332</v>
      </c>
      <c r="B31">
        <v>1.0975498905550001</v>
      </c>
      <c r="E31" s="153">
        <f ca="1">MATCH(F31,IND!$D$26:$D$255,0)</f>
        <v>47</v>
      </c>
      <c r="F31" s="4" t="str">
        <f t="shared" si="0"/>
        <v>IMIA</v>
      </c>
      <c r="G31" s="150">
        <f ca="1">OFFSET(IND!J$25,$E31,0)</f>
        <v>0.99318058118269725</v>
      </c>
      <c r="H31" s="150">
        <f ca="1">OFFSET(IND!K$25,$E31,0)</f>
        <v>1.0193812422608317</v>
      </c>
      <c r="I31" s="150">
        <f ca="1">OFFSET(IND!L$25,$E31,0)</f>
        <v>1.0212123456398166</v>
      </c>
      <c r="J31" s="150">
        <f ca="1">OFFSET(IND!M$25,$E31,0)</f>
        <v>1.0228235984706235</v>
      </c>
      <c r="K31" s="150">
        <f ca="1">OFFSET(IND!N$25,$E31,0)</f>
        <v>1.0228235984706235</v>
      </c>
      <c r="L31" s="150">
        <f ca="1">OFFSET(IND!O$25,$E31,0)</f>
        <v>1.0228235984706235</v>
      </c>
      <c r="M31" s="150">
        <f ca="1">OFFSET(IND!P$25,$E31,0)</f>
        <v>1.0151524881224319</v>
      </c>
      <c r="N31" s="150">
        <f ca="1">OFFSET(IND!Q$25,$E31,0)</f>
        <v>1.000849843656753</v>
      </c>
      <c r="O31" s="243">
        <f ca="1">OFFSET(IND!R$25,$E31,0)</f>
        <v>0.92234418114356254</v>
      </c>
      <c r="P31" s="150">
        <f ca="1">OFFSET(IND!S$25,$E31,0)</f>
        <v>0.94241529135267876</v>
      </c>
      <c r="Q31" s="150">
        <f ca="1">OFFSET(IND!T$25,$E31,0)</f>
        <v>0.95954475510008885</v>
      </c>
      <c r="R31" s="150">
        <f ca="1">OFFSET(IND!U$25,$E31,0)</f>
        <v>0.97591839899894306</v>
      </c>
      <c r="S31" s="150">
        <f ca="1">OFFSET(IND!V$25,$E31,0)</f>
        <v>0.9918163528594961</v>
      </c>
      <c r="T31" s="243">
        <f ca="1">OFFSET(IND!W$25,$E31,0)</f>
        <v>1.0120187720071914</v>
      </c>
      <c r="U31" s="150">
        <f ca="1">OFFSET(IND!X$25,$E31,0)</f>
        <v>1.0412926678446102</v>
      </c>
      <c r="V31" s="150">
        <f ca="1">OFFSET(IND!Y$25,$E31,0)</f>
        <v>1.0728064853661383</v>
      </c>
      <c r="W31" s="150">
        <f ca="1">OFFSET(IND!Z$25,$E31,0)</f>
        <v>1.106586896516933</v>
      </c>
      <c r="X31" s="150">
        <f ca="1">OFFSET(IND!AA$25,$E31,0)</f>
        <v>1.1371411944941159</v>
      </c>
      <c r="Y31" s="245">
        <f ca="1">OFFSET(IND!AB$25,$E31,0)</f>
        <v>1.1719149885225106</v>
      </c>
      <c r="Z31" s="150">
        <f ca="1">OFFSET(IND!AC$25,$E31,0)</f>
        <v>1.2000817000850563</v>
      </c>
      <c r="AA31" s="150">
        <f ca="1">OFFSET(IND!AD$25,$E31,0)</f>
        <v>1.226200831551743</v>
      </c>
      <c r="AB31" s="150">
        <f ca="1">OFFSET(IND!AE$25,$E31,0)</f>
        <v>1.2540179562686542</v>
      </c>
      <c r="AC31" s="150">
        <f ca="1">OFFSET(IND!AF$25,$E31,0)</f>
        <v>1.2830336644563121</v>
      </c>
      <c r="AD31" s="150">
        <f ca="1">OFFSET(IND!AG$25,$E31,0)</f>
        <v>1.3125987234013954</v>
      </c>
      <c r="AE31" s="150">
        <f ca="1">OFFSET(IND!AH$25,$E31,0)</f>
        <v>1.3452601229792409</v>
      </c>
      <c r="AF31" s="150">
        <f ca="1">OFFSET(IND!AI$25,$E31,0)</f>
        <v>1.3792199879837288</v>
      </c>
      <c r="AG31" s="150">
        <f ca="1">OFFSET(IND!AJ$25,$E31,0)</f>
        <v>1.4132297939661642</v>
      </c>
      <c r="AH31" s="150">
        <f ca="1">OFFSET(IND!AK$25,$E31,0)</f>
        <v>1.448538065375242</v>
      </c>
      <c r="AI31" s="150">
        <f ca="1">OFFSET(IND!AL$25,$E31,0)</f>
        <v>1.4863433856817083</v>
      </c>
      <c r="AJ31" s="150">
        <f ca="1">OFFSET(IND!AM$25,$E31,0)</f>
        <v>1.669576833772098</v>
      </c>
      <c r="AK31" s="150">
        <f ca="1">OFFSET(IND!AN$25,$E31,0)</f>
        <v>1.8977571620154867</v>
      </c>
      <c r="AL31" s="150">
        <f ca="1">OFFSET(IND!AO$25,$E31,0)</f>
        <v>2.3016797916571039</v>
      </c>
      <c r="AM31" s="150">
        <f ca="1">OFFSET(IND!AP$25,$E31,0)</f>
        <v>2.7130935679908874</v>
      </c>
      <c r="AQ31" s="4"/>
    </row>
    <row r="32" spans="1:43">
      <c r="A32" s="36" t="s">
        <v>333</v>
      </c>
      <c r="B32">
        <v>19.17682172608</v>
      </c>
      <c r="E32" s="153">
        <f ca="1">MATCH(F32,IND!$D$26:$D$255,0)</f>
        <v>49</v>
      </c>
      <c r="F32" s="4" t="str">
        <f t="shared" si="0"/>
        <v>IMIC</v>
      </c>
      <c r="G32" s="150">
        <f ca="1">OFFSET(IND!J$25,$E32,0)</f>
        <v>17.35324025908308</v>
      </c>
      <c r="H32" s="150">
        <f ca="1">OFFSET(IND!K$25,$E32,0)</f>
        <v>17.811028475294727</v>
      </c>
      <c r="I32" s="150">
        <f ca="1">OFFSET(IND!L$25,$E32,0)</f>
        <v>17.843022230989085</v>
      </c>
      <c r="J32" s="150">
        <f ca="1">OFFSET(IND!M$25,$E32,0)</f>
        <v>17.871174671764589</v>
      </c>
      <c r="K32" s="150">
        <f ca="1">OFFSET(IND!N$25,$E32,0)</f>
        <v>17.871174671764589</v>
      </c>
      <c r="L32" s="150">
        <f ca="1">OFFSET(IND!O$25,$E32,0)</f>
        <v>17.871174671764589</v>
      </c>
      <c r="M32" s="150">
        <f ca="1">OFFSET(IND!P$25,$E32,0)</f>
        <v>17.737142026092449</v>
      </c>
      <c r="N32" s="150">
        <f ca="1">OFFSET(IND!Q$25,$E32,0)</f>
        <v>17.48724061797429</v>
      </c>
      <c r="O32" s="243">
        <f ca="1">OFFSET(IND!R$25,$E32,0)</f>
        <v>16.115558922720439</v>
      </c>
      <c r="P32" s="150">
        <f ca="1">OFFSET(IND!S$25,$E32,0)</f>
        <v>16.466249224488692</v>
      </c>
      <c r="Q32" s="150">
        <f ca="1">OFFSET(IND!T$25,$E32,0)</f>
        <v>16.765541926692041</v>
      </c>
      <c r="R32" s="150">
        <f ca="1">OFFSET(IND!U$25,$E32,0)</f>
        <v>17.051628648358641</v>
      </c>
      <c r="S32" s="150">
        <f ca="1">OFFSET(IND!V$25,$E32,0)</f>
        <v>17.32940392729278</v>
      </c>
      <c r="T32" s="243">
        <f ca="1">OFFSET(IND!W$25,$E32,0)</f>
        <v>17.682388510284913</v>
      </c>
      <c r="U32" s="150">
        <f ca="1">OFFSET(IND!X$25,$E32,0)</f>
        <v>18.193873488355234</v>
      </c>
      <c r="V32" s="150">
        <f ca="1">OFFSET(IND!Y$25,$E32,0)</f>
        <v>18.744495255728857</v>
      </c>
      <c r="W32" s="150">
        <f ca="1">OFFSET(IND!Z$25,$E32,0)</f>
        <v>19.334719835082083</v>
      </c>
      <c r="X32" s="150">
        <f ca="1">OFFSET(IND!AA$25,$E32,0)</f>
        <v>19.868576501021202</v>
      </c>
      <c r="Y32" s="245">
        <f ca="1">OFFSET(IND!AB$25,$E32,0)</f>
        <v>20.476157855235776</v>
      </c>
      <c r="Z32" s="150">
        <f ca="1">OFFSET(IND!AC$25,$E32,0)</f>
        <v>20.968297675842315</v>
      </c>
      <c r="AA32" s="150">
        <f ca="1">OFFSET(IND!AD$25,$E32,0)</f>
        <v>21.42466137473809</v>
      </c>
      <c r="AB32" s="150">
        <f ca="1">OFFSET(IND!AE$25,$E32,0)</f>
        <v>21.910693077003764</v>
      </c>
      <c r="AC32" s="150">
        <f ca="1">OFFSET(IND!AF$25,$E32,0)</f>
        <v>22.417666899295252</v>
      </c>
      <c r="AD32" s="150">
        <f ca="1">OFFSET(IND!AG$25,$E32,0)</f>
        <v>22.934239193265235</v>
      </c>
      <c r="AE32" s="150">
        <f ca="1">OFFSET(IND!AH$25,$E32,0)</f>
        <v>23.50491196396856</v>
      </c>
      <c r="AF32" s="150">
        <f ca="1">OFFSET(IND!AI$25,$E32,0)</f>
        <v>24.098272031366513</v>
      </c>
      <c r="AG32" s="150">
        <f ca="1">OFFSET(IND!AJ$25,$E32,0)</f>
        <v>24.692504687098872</v>
      </c>
      <c r="AH32" s="150">
        <f ca="1">OFFSET(IND!AK$25,$E32,0)</f>
        <v>25.309424639525862</v>
      </c>
      <c r="AI32" s="150">
        <f ca="1">OFFSET(IND!AL$25,$E32,0)</f>
        <v>25.969974008673287</v>
      </c>
      <c r="AJ32" s="150">
        <f ca="1">OFFSET(IND!AM$25,$E32,0)</f>
        <v>29.171500607618992</v>
      </c>
      <c r="AK32" s="150">
        <f ca="1">OFFSET(IND!AN$25,$E32,0)</f>
        <v>33.158356707532583</v>
      </c>
      <c r="AL32" s="150">
        <f ca="1">OFFSET(IND!AO$25,$E32,0)</f>
        <v>40.215851156230663</v>
      </c>
      <c r="AM32" s="150">
        <f ca="1">OFFSET(IND!AP$25,$E32,0)</f>
        <v>47.404233855090048</v>
      </c>
      <c r="AQ32" s="4"/>
    </row>
    <row r="33" spans="1:43">
      <c r="A33" s="36" t="s">
        <v>334</v>
      </c>
      <c r="B33">
        <v>0.20646280210080001</v>
      </c>
      <c r="E33" s="153">
        <f ca="1">MATCH(F33,IND!$D$26:$D$255,0)</f>
        <v>54</v>
      </c>
      <c r="F33" s="4" t="str">
        <f t="shared" si="0"/>
        <v>IMIE</v>
      </c>
      <c r="G33" s="150">
        <f ca="1">OFFSET(IND!J$25,$E33,0)</f>
        <v>0.18682963530638833</v>
      </c>
      <c r="H33" s="150">
        <f ca="1">OFFSET(IND!K$25,$E33,0)</f>
        <v>0.19175830592959464</v>
      </c>
      <c r="I33" s="150">
        <f ca="1">OFFSET(IND!L$25,$E33,0)</f>
        <v>0.1921027592777427</v>
      </c>
      <c r="J33" s="150">
        <f ca="1">OFFSET(IND!M$25,$E33,0)</f>
        <v>0.19240585599999999</v>
      </c>
      <c r="K33" s="150">
        <f ca="1">OFFSET(IND!N$25,$E33,0)</f>
        <v>0.19240585599999999</v>
      </c>
      <c r="L33" s="150">
        <f ca="1">OFFSET(IND!O$25,$E33,0)</f>
        <v>0.19240585599999999</v>
      </c>
      <c r="M33" s="150">
        <f ca="1">OFFSET(IND!P$25,$E33,0)</f>
        <v>0.19096282461587744</v>
      </c>
      <c r="N33" s="150">
        <f ca="1">OFFSET(IND!Q$25,$E33,0)</f>
        <v>0.18827231908237452</v>
      </c>
      <c r="O33" s="243">
        <f ca="1">OFFSET(IND!R$25,$E33,0)</f>
        <v>0.17350442633988872</v>
      </c>
      <c r="P33" s="150">
        <f ca="1">OFFSET(IND!S$25,$E33,0)</f>
        <v>0.17728005211390263</v>
      </c>
      <c r="Q33" s="150">
        <f ca="1">OFFSET(IND!T$25,$E33,0)</f>
        <v>0.1805023175564183</v>
      </c>
      <c r="R33" s="150">
        <f ca="1">OFFSET(IND!U$25,$E33,0)</f>
        <v>0.18358240387326594</v>
      </c>
      <c r="S33" s="150">
        <f ca="1">OFFSET(IND!V$25,$E33,0)</f>
        <v>0.18657300697018506</v>
      </c>
      <c r="T33" s="243">
        <f ca="1">OFFSET(IND!W$25,$E33,0)</f>
        <v>0.19037333359072378</v>
      </c>
      <c r="U33" s="150">
        <f ca="1">OFFSET(IND!X$25,$E33,0)</f>
        <v>0.19588011794285973</v>
      </c>
      <c r="V33" s="150">
        <f ca="1">OFFSET(IND!Y$25,$E33,0)</f>
        <v>0.2018082594573142</v>
      </c>
      <c r="W33" s="150">
        <f ca="1">OFFSET(IND!Z$25,$E33,0)</f>
        <v>0.20816277545911457</v>
      </c>
      <c r="X33" s="150">
        <f ca="1">OFFSET(IND!AA$25,$E33,0)</f>
        <v>0.21391041939846955</v>
      </c>
      <c r="Y33" s="245">
        <f ca="1">OFFSET(IND!AB$25,$E33,0)</f>
        <v>0.22045180309005158</v>
      </c>
      <c r="Z33" s="150">
        <f ca="1">OFFSET(IND!AC$25,$E33,0)</f>
        <v>0.22575031229242054</v>
      </c>
      <c r="AA33" s="150">
        <f ca="1">OFFSET(IND!AD$25,$E33,0)</f>
        <v>0.23066364618043281</v>
      </c>
      <c r="AB33" s="150">
        <f ca="1">OFFSET(IND!AE$25,$E33,0)</f>
        <v>0.23589639374376523</v>
      </c>
      <c r="AC33" s="150">
        <f ca="1">OFFSET(IND!AF$25,$E33,0)</f>
        <v>0.24135460978379422</v>
      </c>
      <c r="AD33" s="150">
        <f ca="1">OFFSET(IND!AG$25,$E33,0)</f>
        <v>0.24691616554230914</v>
      </c>
      <c r="AE33" s="150">
        <f ca="1">OFFSET(IND!AH$25,$E33,0)</f>
        <v>0.2530601815322901</v>
      </c>
      <c r="AF33" s="150">
        <f ca="1">OFFSET(IND!AI$25,$E33,0)</f>
        <v>0.25944845503869235</v>
      </c>
      <c r="AG33" s="150">
        <f ca="1">OFFSET(IND!AJ$25,$E33,0)</f>
        <v>0.26584612306495697</v>
      </c>
      <c r="AH33" s="150">
        <f ca="1">OFFSET(IND!AK$25,$E33,0)</f>
        <v>0.27248804860764286</v>
      </c>
      <c r="AI33" s="150">
        <f ca="1">OFFSET(IND!AL$25,$E33,0)</f>
        <v>0.27959970014344654</v>
      </c>
      <c r="AJ33" s="150">
        <f ca="1">OFFSET(IND!AM$25,$E33,0)</f>
        <v>0.31406819351843152</v>
      </c>
      <c r="AK33" s="150">
        <f ca="1">OFFSET(IND!AN$25,$E33,0)</f>
        <v>0.35699175476953726</v>
      </c>
      <c r="AL33" s="150">
        <f ca="1">OFFSET(IND!AO$25,$E33,0)</f>
        <v>0.43297463141627551</v>
      </c>
      <c r="AM33" s="150">
        <f ca="1">OFFSET(IND!AP$25,$E33,0)</f>
        <v>0.51036668604236712</v>
      </c>
      <c r="AQ33" s="4"/>
    </row>
    <row r="34" spans="1:43">
      <c r="A34" s="36" t="s">
        <v>335</v>
      </c>
      <c r="B34">
        <v>6.5077475668130003</v>
      </c>
      <c r="E34" s="153">
        <f ca="1">MATCH(F34,IND!$D$26:$D$255,0)</f>
        <v>52</v>
      </c>
      <c r="F34" s="4" t="str">
        <f t="shared" si="0"/>
        <v>IMIF</v>
      </c>
      <c r="G34" s="150">
        <f ca="1">OFFSET(IND!J$25,$E34,0)</f>
        <v>5.8889063414920679</v>
      </c>
      <c r="H34" s="150">
        <f ca="1">OFFSET(IND!K$25,$E34,0)</f>
        <v>6.0442589954782893</v>
      </c>
      <c r="I34" s="150">
        <f ca="1">OFFSET(IND!L$25,$E34,0)</f>
        <v>6.055116231820536</v>
      </c>
      <c r="J34" s="150">
        <f ca="1">OFFSET(IND!M$25,$E34,0)</f>
        <v>6.0646698992933636</v>
      </c>
      <c r="K34" s="150">
        <f ca="1">OFFSET(IND!N$25,$E34,0)</f>
        <v>6.0646698992933636</v>
      </c>
      <c r="L34" s="150">
        <f ca="1">OFFSET(IND!O$25,$E34,0)</f>
        <v>6.0646698992933636</v>
      </c>
      <c r="M34" s="150">
        <f ca="1">OFFSET(IND!P$25,$E34,0)</f>
        <v>6.0191852701819517</v>
      </c>
      <c r="N34" s="150">
        <f ca="1">OFFSET(IND!Q$25,$E34,0)</f>
        <v>5.9343800139276022</v>
      </c>
      <c r="O34" s="243">
        <f ca="1">OFFSET(IND!R$25,$E34,0)</f>
        <v>5.4688931703704782</v>
      </c>
      <c r="P34" s="150">
        <f ca="1">OFFSET(IND!S$25,$E34,0)</f>
        <v>5.5879016270707691</v>
      </c>
      <c r="Q34" s="150">
        <f ca="1">OFFSET(IND!T$25,$E34,0)</f>
        <v>5.6894680587949571</v>
      </c>
      <c r="R34" s="150">
        <f ca="1">OFFSET(IND!U$25,$E34,0)</f>
        <v>5.7865529769016657</v>
      </c>
      <c r="S34" s="150">
        <f ca="1">OFFSET(IND!V$25,$E34,0)</f>
        <v>5.8808173665604651</v>
      </c>
      <c r="T34" s="243">
        <f ca="1">OFFSET(IND!W$25,$E34,0)</f>
        <v>6.0006043987340822</v>
      </c>
      <c r="U34" s="150">
        <f ca="1">OFFSET(IND!X$25,$E34,0)</f>
        <v>6.1741793095845008</v>
      </c>
      <c r="V34" s="150">
        <f ca="1">OFFSET(IND!Y$25,$E34,0)</f>
        <v>6.3610354799157376</v>
      </c>
      <c r="W34" s="150">
        <f ca="1">OFFSET(IND!Z$25,$E34,0)</f>
        <v>6.5613310567857921</v>
      </c>
      <c r="X34" s="150">
        <f ca="1">OFFSET(IND!AA$25,$E34,0)</f>
        <v>6.7424979085413961</v>
      </c>
      <c r="Y34" s="245">
        <f ca="1">OFFSET(IND!AB$25,$E34,0)</f>
        <v>6.9486835912373843</v>
      </c>
      <c r="Z34" s="150">
        <f ca="1">OFFSET(IND!AC$25,$E34,0)</f>
        <v>7.1156936289710373</v>
      </c>
      <c r="AA34" s="150">
        <f ca="1">OFFSET(IND!AD$25,$E34,0)</f>
        <v>7.2705628660892989</v>
      </c>
      <c r="AB34" s="150">
        <f ca="1">OFFSET(IND!AE$25,$E34,0)</f>
        <v>7.4355000842056889</v>
      </c>
      <c r="AC34" s="150">
        <f ca="1">OFFSET(IND!AF$25,$E34,0)</f>
        <v>7.607544112438406</v>
      </c>
      <c r="AD34" s="150">
        <f ca="1">OFFSET(IND!AG$25,$E34,0)</f>
        <v>7.7828454286411048</v>
      </c>
      <c r="AE34" s="150">
        <f ca="1">OFFSET(IND!AH$25,$E34,0)</f>
        <v>7.9765060043109779</v>
      </c>
      <c r="AF34" s="150">
        <f ca="1">OFFSET(IND!AI$25,$E34,0)</f>
        <v>8.1778656242735384</v>
      </c>
      <c r="AG34" s="150">
        <f ca="1">OFFSET(IND!AJ$25,$E34,0)</f>
        <v>8.3795213613242776</v>
      </c>
      <c r="AH34" s="150">
        <f ca="1">OFFSET(IND!AK$25,$E34,0)</f>
        <v>8.5888761426677043</v>
      </c>
      <c r="AI34" s="150">
        <f ca="1">OFFSET(IND!AL$25,$E34,0)</f>
        <v>8.8130367784201411</v>
      </c>
      <c r="AJ34" s="150">
        <f ca="1">OFFSET(IND!AM$25,$E34,0)</f>
        <v>9.8994903749534195</v>
      </c>
      <c r="AK34" s="150">
        <f ca="1">OFFSET(IND!AN$25,$E34,0)</f>
        <v>11.252449350848913</v>
      </c>
      <c r="AL34" s="150">
        <f ca="1">OFFSET(IND!AO$25,$E34,0)</f>
        <v>13.647444360050681</v>
      </c>
      <c r="AM34" s="150">
        <f ca="1">OFFSET(IND!AP$25,$E34,0)</f>
        <v>16.086856932479481</v>
      </c>
      <c r="AQ34" s="4"/>
    </row>
    <row r="35" spans="1:43">
      <c r="A35" s="36" t="s">
        <v>336</v>
      </c>
      <c r="B35">
        <v>8.5041886448849997</v>
      </c>
      <c r="E35" s="153">
        <f ca="1">MATCH(F35,IND!$D$26:$D$255,0)</f>
        <v>50</v>
      </c>
      <c r="F35" s="4" t="str">
        <f t="shared" si="0"/>
        <v>IMIH</v>
      </c>
      <c r="G35" s="150">
        <f ca="1">OFFSET(IND!J$25,$E35,0)</f>
        <v>7.6954998524370488</v>
      </c>
      <c r="H35" s="150">
        <f ca="1">OFFSET(IND!K$25,$E35,0)</f>
        <v>7.8985114570542425</v>
      </c>
      <c r="I35" s="150">
        <f ca="1">OFFSET(IND!L$25,$E35,0)</f>
        <v>7.9126994668177781</v>
      </c>
      <c r="J35" s="150">
        <f ca="1">OFFSET(IND!M$25,$E35,0)</f>
        <v>7.9251840000000016</v>
      </c>
      <c r="K35" s="150">
        <f ca="1">OFFSET(IND!N$25,$E35,0)</f>
        <v>7.9251840000000016</v>
      </c>
      <c r="L35" s="150">
        <f ca="1">OFFSET(IND!O$25,$E35,0)</f>
        <v>7.9251840000000016</v>
      </c>
      <c r="M35" s="150">
        <f ca="1">OFFSET(IND!P$25,$E35,0)</f>
        <v>7.8657456363519334</v>
      </c>
      <c r="N35" s="150">
        <f ca="1">OFFSET(IND!Q$25,$E35,0)</f>
        <v>7.754923898129845</v>
      </c>
      <c r="O35" s="243">
        <f ca="1">OFFSET(IND!R$25,$E35,0)</f>
        <v>7.1466354098810019</v>
      </c>
      <c r="P35" s="150">
        <f ca="1">OFFSET(IND!S$25,$E35,0)</f>
        <v>7.3021531763163576</v>
      </c>
      <c r="Q35" s="150">
        <f ca="1">OFFSET(IND!T$25,$E35,0)</f>
        <v>7.4348780686854239</v>
      </c>
      <c r="R35" s="150">
        <f ca="1">OFFSET(IND!U$25,$E35,0)</f>
        <v>7.5617466126288049</v>
      </c>
      <c r="S35" s="150">
        <f ca="1">OFFSET(IND!V$25,$E35,0)</f>
        <v>7.6849293488863433</v>
      </c>
      <c r="T35" s="243">
        <f ca="1">OFFSET(IND!W$25,$E35,0)</f>
        <v>7.8414645414943456</v>
      </c>
      <c r="U35" s="150">
        <f ca="1">OFFSET(IND!X$25,$E35,0)</f>
        <v>8.0682886109187102</v>
      </c>
      <c r="V35" s="150">
        <f ca="1">OFFSET(IND!Y$25,$E35,0)</f>
        <v>8.3124683529328536</v>
      </c>
      <c r="W35" s="150">
        <f ca="1">OFFSET(IND!Z$25,$E35,0)</f>
        <v>8.5742104308102149</v>
      </c>
      <c r="X35" s="150">
        <f ca="1">OFFSET(IND!AA$25,$E35,0)</f>
        <v>8.8109554900971485</v>
      </c>
      <c r="Y35" s="245">
        <f ca="1">OFFSET(IND!AB$25,$E35,0)</f>
        <v>9.0803946352881706</v>
      </c>
      <c r="Z35" s="150">
        <f ca="1">OFFSET(IND!AC$25,$E35,0)</f>
        <v>9.2986398655916975</v>
      </c>
      <c r="AA35" s="150">
        <f ca="1">OFFSET(IND!AD$25,$E35,0)</f>
        <v>9.5010197511391148</v>
      </c>
      <c r="AB35" s="150">
        <f ca="1">OFFSET(IND!AE$25,$E35,0)</f>
        <v>9.7165562640452556</v>
      </c>
      <c r="AC35" s="150">
        <f ca="1">OFFSET(IND!AF$25,$E35,0)</f>
        <v>9.9413798080281435</v>
      </c>
      <c r="AD35" s="150">
        <f ca="1">OFFSET(IND!AG$25,$E35,0)</f>
        <v>10.170459907921206</v>
      </c>
      <c r="AE35" s="150">
        <f ca="1">OFFSET(IND!AH$25,$E35,0)</f>
        <v>10.423531504762527</v>
      </c>
      <c r="AF35" s="150">
        <f ca="1">OFFSET(IND!AI$25,$E35,0)</f>
        <v>10.686664051936992</v>
      </c>
      <c r="AG35" s="150">
        <f ca="1">OFFSET(IND!AJ$25,$E35,0)</f>
        <v>10.950183558739653</v>
      </c>
      <c r="AH35" s="150">
        <f ca="1">OFFSET(IND!AK$25,$E35,0)</f>
        <v>11.223764015875457</v>
      </c>
      <c r="AI35" s="150">
        <f ca="1">OFFSET(IND!AL$25,$E35,0)</f>
        <v>11.516692454421145</v>
      </c>
      <c r="AJ35" s="150">
        <f ca="1">OFFSET(IND!AM$25,$E35,0)</f>
        <v>12.936447330278652</v>
      </c>
      <c r="AK35" s="150">
        <f ca="1">OFFSET(IND!AN$25,$E35,0)</f>
        <v>14.704465871514129</v>
      </c>
      <c r="AL35" s="150">
        <f ca="1">OFFSET(IND!AO$25,$E35,0)</f>
        <v>17.834195344377491</v>
      </c>
      <c r="AM35" s="150">
        <f ca="1">OFFSET(IND!AP$25,$E35,0)</f>
        <v>21.021968761470514</v>
      </c>
      <c r="AQ35" s="4"/>
    </row>
    <row r="36" spans="1:43">
      <c r="A36" s="36" t="s">
        <v>337</v>
      </c>
      <c r="B36">
        <v>2.3622746235790002</v>
      </c>
      <c r="E36" s="153">
        <f ca="1">MATCH(F36,IND!$D$26:$D$255,0)</f>
        <v>46</v>
      </c>
      <c r="F36" s="4" t="str">
        <f t="shared" si="0"/>
        <v>IMIK</v>
      </c>
      <c r="G36" s="150">
        <f ca="1">OFFSET(IND!J$25,$E36,0)</f>
        <v>2.1376388478991801</v>
      </c>
      <c r="H36" s="150">
        <f ca="1">OFFSET(IND!K$25,$E36,0)</f>
        <v>2.1940309602928449</v>
      </c>
      <c r="I36" s="150">
        <f ca="1">OFFSET(IND!L$25,$E36,0)</f>
        <v>2.1979720741160493</v>
      </c>
      <c r="J36" s="150">
        <f ca="1">OFFSET(IND!M$25,$E36,0)</f>
        <v>2.2014400000000003</v>
      </c>
      <c r="K36" s="150">
        <f ca="1">OFFSET(IND!N$25,$E36,0)</f>
        <v>2.2014400000000003</v>
      </c>
      <c r="L36" s="150">
        <f ca="1">OFFSET(IND!O$25,$E36,0)</f>
        <v>2.2014400000000003</v>
      </c>
      <c r="M36" s="150">
        <f ca="1">OFFSET(IND!P$25,$E36,0)</f>
        <v>2.1849293434310924</v>
      </c>
      <c r="N36" s="150">
        <f ca="1">OFFSET(IND!Q$25,$E36,0)</f>
        <v>2.1541455272582901</v>
      </c>
      <c r="O36" s="243">
        <f ca="1">OFFSET(IND!R$25,$E36,0)</f>
        <v>1.9851765027447228</v>
      </c>
      <c r="P36" s="150">
        <f ca="1">OFFSET(IND!S$25,$E36,0)</f>
        <v>2.0283758823100992</v>
      </c>
      <c r="Q36" s="150">
        <f ca="1">OFFSET(IND!T$25,$E36,0)</f>
        <v>2.0652439079681733</v>
      </c>
      <c r="R36" s="150">
        <f ca="1">OFFSET(IND!U$25,$E36,0)</f>
        <v>2.1004851701746681</v>
      </c>
      <c r="S36" s="150">
        <f ca="1">OFFSET(IND!V$25,$E36,0)</f>
        <v>2.1347025969128732</v>
      </c>
      <c r="T36" s="243">
        <f ca="1">OFFSET(IND!W$25,$E36,0)</f>
        <v>2.1781845948595406</v>
      </c>
      <c r="U36" s="150">
        <f ca="1">OFFSET(IND!X$25,$E36,0)</f>
        <v>2.241191280810753</v>
      </c>
      <c r="V36" s="150">
        <f ca="1">OFFSET(IND!Y$25,$E36,0)</f>
        <v>2.3090189869257927</v>
      </c>
      <c r="W36" s="150">
        <f ca="1">OFFSET(IND!Z$25,$E36,0)</f>
        <v>2.381725119669504</v>
      </c>
      <c r="X36" s="150">
        <f ca="1">OFFSET(IND!AA$25,$E36,0)</f>
        <v>2.4474876361380966</v>
      </c>
      <c r="Y36" s="245">
        <f ca="1">OFFSET(IND!AB$25,$E36,0)</f>
        <v>2.5223318431356025</v>
      </c>
      <c r="Z36" s="150">
        <f ca="1">OFFSET(IND!AC$25,$E36,0)</f>
        <v>2.5829555182199155</v>
      </c>
      <c r="AA36" s="150">
        <f ca="1">OFFSET(IND!AD$25,$E36,0)</f>
        <v>2.6391721530941981</v>
      </c>
      <c r="AB36" s="150">
        <f ca="1">OFFSET(IND!AE$25,$E36,0)</f>
        <v>2.699043406679237</v>
      </c>
      <c r="AC36" s="150">
        <f ca="1">OFFSET(IND!AF$25,$E36,0)</f>
        <v>2.7614943911189282</v>
      </c>
      <c r="AD36" s="150">
        <f ca="1">OFFSET(IND!AG$25,$E36,0)</f>
        <v>2.8251277522003346</v>
      </c>
      <c r="AE36" s="150">
        <f ca="1">OFFSET(IND!AH$25,$E36,0)</f>
        <v>2.8954254179895909</v>
      </c>
      <c r="AF36" s="150">
        <f ca="1">OFFSET(IND!AI$25,$E36,0)</f>
        <v>2.9685177922047199</v>
      </c>
      <c r="AG36" s="150">
        <f ca="1">OFFSET(IND!AJ$25,$E36,0)</f>
        <v>3.041717655205459</v>
      </c>
      <c r="AH36" s="150">
        <f ca="1">OFFSET(IND!AK$25,$E36,0)</f>
        <v>3.1177122266320714</v>
      </c>
      <c r="AI36" s="150">
        <f ca="1">OFFSET(IND!AL$25,$E36,0)</f>
        <v>3.1990812373392075</v>
      </c>
      <c r="AJ36" s="150">
        <f ca="1">OFFSET(IND!AM$25,$E36,0)</f>
        <v>3.5934575917440705</v>
      </c>
      <c r="AK36" s="150">
        <f ca="1">OFFSET(IND!AN$25,$E36,0)</f>
        <v>4.0845738531983695</v>
      </c>
      <c r="AL36" s="150">
        <f ca="1">OFFSET(IND!AO$25,$E36,0)</f>
        <v>4.9539431512159702</v>
      </c>
      <c r="AM36" s="150">
        <f ca="1">OFFSET(IND!AP$25,$E36,0)</f>
        <v>5.8394357670751429</v>
      </c>
      <c r="AQ36" s="4"/>
    </row>
    <row r="37" spans="1:43">
      <c r="A37" s="36" t="s">
        <v>338</v>
      </c>
      <c r="B37">
        <v>1.594535370916</v>
      </c>
      <c r="E37" s="153">
        <f ca="1">MATCH(F37,IND!$D$26:$D$255,0)</f>
        <v>48</v>
      </c>
      <c r="F37" s="4" t="str">
        <f t="shared" si="0"/>
        <v>IMIL</v>
      </c>
      <c r="G37" s="150">
        <f ca="1">OFFSET(IND!J$25,$E37,0)</f>
        <v>1.4429062223319464</v>
      </c>
      <c r="H37" s="150">
        <f ca="1">OFFSET(IND!K$25,$E37,0)</f>
        <v>1.4809708981976701</v>
      </c>
      <c r="I37" s="150">
        <f ca="1">OFFSET(IND!L$25,$E37,0)</f>
        <v>1.483631150028333</v>
      </c>
      <c r="J37" s="150">
        <f ca="1">OFFSET(IND!M$25,$E37,0)</f>
        <v>1.4859720000000001</v>
      </c>
      <c r="K37" s="150">
        <f ca="1">OFFSET(IND!N$25,$E37,0)</f>
        <v>1.4859720000000001</v>
      </c>
      <c r="L37" s="150">
        <f ca="1">OFFSET(IND!O$25,$E37,0)</f>
        <v>1.4859720000000001</v>
      </c>
      <c r="M37" s="150">
        <f ca="1">OFFSET(IND!P$25,$E37,0)</f>
        <v>1.4748273068159872</v>
      </c>
      <c r="N37" s="150">
        <f ca="1">OFFSET(IND!Q$25,$E37,0)</f>
        <v>1.4540482308993454</v>
      </c>
      <c r="O37" s="243">
        <f ca="1">OFFSET(IND!R$25,$E37,0)</f>
        <v>1.3399941393526875</v>
      </c>
      <c r="P37" s="150">
        <f ca="1">OFFSET(IND!S$25,$E37,0)</f>
        <v>1.3691537205593167</v>
      </c>
      <c r="Q37" s="150">
        <f ca="1">OFFSET(IND!T$25,$E37,0)</f>
        <v>1.3940396378785167</v>
      </c>
      <c r="R37" s="150">
        <f ca="1">OFFSET(IND!U$25,$E37,0)</f>
        <v>1.4178274898679006</v>
      </c>
      <c r="S37" s="150">
        <f ca="1">OFFSET(IND!V$25,$E37,0)</f>
        <v>1.440924252916189</v>
      </c>
      <c r="T37" s="243">
        <f ca="1">OFFSET(IND!W$25,$E37,0)</f>
        <v>1.4702746015301893</v>
      </c>
      <c r="U37" s="150">
        <f ca="1">OFFSET(IND!X$25,$E37,0)</f>
        <v>1.5128041145472575</v>
      </c>
      <c r="V37" s="150">
        <f ca="1">OFFSET(IND!Y$25,$E37,0)</f>
        <v>1.5585878161749094</v>
      </c>
      <c r="W37" s="150">
        <f ca="1">OFFSET(IND!Z$25,$E37,0)</f>
        <v>1.6076644557769144</v>
      </c>
      <c r="X37" s="150">
        <f ca="1">OFFSET(IND!AA$25,$E37,0)</f>
        <v>1.6520541543932143</v>
      </c>
      <c r="Y37" s="245">
        <f ca="1">OFFSET(IND!AB$25,$E37,0)</f>
        <v>1.7025739941165308</v>
      </c>
      <c r="Z37" s="150">
        <f ca="1">OFFSET(IND!AC$25,$E37,0)</f>
        <v>1.7434949747984421</v>
      </c>
      <c r="AA37" s="150">
        <f ca="1">OFFSET(IND!AD$25,$E37,0)</f>
        <v>1.7814412033385827</v>
      </c>
      <c r="AB37" s="150">
        <f ca="1">OFFSET(IND!AE$25,$E37,0)</f>
        <v>1.8218542995084841</v>
      </c>
      <c r="AC37" s="150">
        <f ca="1">OFFSET(IND!AF$25,$E37,0)</f>
        <v>1.8640087140052755</v>
      </c>
      <c r="AD37" s="150">
        <f ca="1">OFFSET(IND!AG$25,$E37,0)</f>
        <v>1.9069612327352246</v>
      </c>
      <c r="AE37" s="150">
        <f ca="1">OFFSET(IND!AH$25,$E37,0)</f>
        <v>1.9544121571429725</v>
      </c>
      <c r="AF37" s="150">
        <f ca="1">OFFSET(IND!AI$25,$E37,0)</f>
        <v>2.0037495097381846</v>
      </c>
      <c r="AG37" s="150">
        <f ca="1">OFFSET(IND!AJ$25,$E37,0)</f>
        <v>2.0531594172636836</v>
      </c>
      <c r="AH37" s="150">
        <f ca="1">OFFSET(IND!AK$25,$E37,0)</f>
        <v>2.1044557529766466</v>
      </c>
      <c r="AI37" s="150">
        <f ca="1">OFFSET(IND!AL$25,$E37,0)</f>
        <v>2.1593798352039633</v>
      </c>
      <c r="AJ37" s="150">
        <f ca="1">OFFSET(IND!AM$25,$E37,0)</f>
        <v>2.4255838744272453</v>
      </c>
      <c r="AK37" s="150">
        <f ca="1">OFFSET(IND!AN$25,$E37,0)</f>
        <v>2.7570873509088969</v>
      </c>
      <c r="AL37" s="150">
        <f ca="1">OFFSET(IND!AO$25,$E37,0)</f>
        <v>3.3439116270707769</v>
      </c>
      <c r="AM37" s="150">
        <f ca="1">OFFSET(IND!AP$25,$E37,0)</f>
        <v>3.9416191427757181</v>
      </c>
      <c r="AQ37" s="4"/>
    </row>
    <row r="38" spans="1:43">
      <c r="A38" s="36" t="s">
        <v>339</v>
      </c>
      <c r="B38">
        <v>31.93143244434</v>
      </c>
      <c r="E38" s="153">
        <f ca="1">MATCH(F38,IND!$D$26:$D$255,0)</f>
        <v>53</v>
      </c>
      <c r="F38" s="4" t="str">
        <f t="shared" si="0"/>
        <v>IMIO</v>
      </c>
      <c r="G38" s="150">
        <f ca="1">OFFSET(IND!J$25,$E38,0)</f>
        <v>28.894976807848312</v>
      </c>
      <c r="H38" s="150">
        <f ca="1">OFFSET(IND!K$25,$E38,0)</f>
        <v>29.657242511132058</v>
      </c>
      <c r="I38" s="150">
        <f ca="1">OFFSET(IND!L$25,$E38,0)</f>
        <v>29.710515491565818</v>
      </c>
      <c r="J38" s="150">
        <f ca="1">OFFSET(IND!M$25,$E38,0)</f>
        <v>29.757392277177463</v>
      </c>
      <c r="K38" s="150">
        <f ca="1">OFFSET(IND!N$25,$E38,0)</f>
        <v>29.757392277177463</v>
      </c>
      <c r="L38" s="150">
        <f ca="1">OFFSET(IND!O$25,$E38,0)</f>
        <v>29.757392277177463</v>
      </c>
      <c r="M38" s="150">
        <f ca="1">OFFSET(IND!P$25,$E38,0)</f>
        <v>29.534213773891089</v>
      </c>
      <c r="N38" s="150">
        <f ca="1">OFFSET(IND!Q$25,$E38,0)</f>
        <v>29.1181015502363</v>
      </c>
      <c r="O38" s="243">
        <f ca="1">OFFSET(IND!R$25,$E38,0)</f>
        <v>26.834106735414075</v>
      </c>
      <c r="P38" s="150">
        <f ca="1">OFFSET(IND!S$25,$E38,0)</f>
        <v>27.41804310608854</v>
      </c>
      <c r="Q38" s="150">
        <f ca="1">OFFSET(IND!T$25,$E38,0)</f>
        <v>27.916397048050325</v>
      </c>
      <c r="R38" s="150">
        <f ca="1">OFFSET(IND!U$25,$E38,0)</f>
        <v>28.392761638419142</v>
      </c>
      <c r="S38" s="150">
        <f ca="1">OFFSET(IND!V$25,$E38,0)</f>
        <v>28.855286799297634</v>
      </c>
      <c r="T38" s="243">
        <f ca="1">OFFSET(IND!W$25,$E38,0)</f>
        <v>29.44304339039001</v>
      </c>
      <c r="U38" s="150">
        <f ca="1">OFFSET(IND!X$25,$E38,0)</f>
        <v>30.294719870300952</v>
      </c>
      <c r="V38" s="150">
        <f ca="1">OFFSET(IND!Y$25,$E38,0)</f>
        <v>31.211563235610178</v>
      </c>
      <c r="W38" s="150">
        <f ca="1">OFFSET(IND!Z$25,$E38,0)</f>
        <v>32.194349463266235</v>
      </c>
      <c r="X38" s="150">
        <f ca="1">OFFSET(IND!AA$25,$E38,0)</f>
        <v>33.083277164993405</v>
      </c>
      <c r="Y38" s="245">
        <f ca="1">OFFSET(IND!AB$25,$E38,0)</f>
        <v>34.094964254943193</v>
      </c>
      <c r="Z38" s="150">
        <f ca="1">OFFSET(IND!AC$25,$E38,0)</f>
        <v>34.914429005637309</v>
      </c>
      <c r="AA38" s="150">
        <f ca="1">OFFSET(IND!AD$25,$E38,0)</f>
        <v>35.67432273722067</v>
      </c>
      <c r="AB38" s="150">
        <f ca="1">OFFSET(IND!AE$25,$E38,0)</f>
        <v>36.48361682611538</v>
      </c>
      <c r="AC38" s="150">
        <f ca="1">OFFSET(IND!AF$25,$E38,0)</f>
        <v>37.327781755465168</v>
      </c>
      <c r="AD38" s="150">
        <f ca="1">OFFSET(IND!AG$25,$E38,0)</f>
        <v>38.187929153356855</v>
      </c>
      <c r="AE38" s="150">
        <f ca="1">OFFSET(IND!AH$25,$E38,0)</f>
        <v>39.138159555757468</v>
      </c>
      <c r="AF38" s="150">
        <f ca="1">OFFSET(IND!AI$25,$E38,0)</f>
        <v>40.12616670198441</v>
      </c>
      <c r="AG38" s="150">
        <f ca="1">OFFSET(IND!AJ$25,$E38,0)</f>
        <v>41.11562679989698</v>
      </c>
      <c r="AH38" s="150">
        <f ca="1">OFFSET(IND!AK$25,$E38,0)</f>
        <v>42.142863641635877</v>
      </c>
      <c r="AI38" s="150">
        <f ca="1">OFFSET(IND!AL$25,$E38,0)</f>
        <v>43.242748067656159</v>
      </c>
      <c r="AJ38" s="150">
        <f ca="1">OFFSET(IND!AM$25,$E38,0)</f>
        <v>48.573627802224742</v>
      </c>
      <c r="AK38" s="150">
        <f ca="1">OFFSET(IND!AN$25,$E38,0)</f>
        <v>55.212164053858409</v>
      </c>
      <c r="AL38" s="150">
        <f ca="1">OFFSET(IND!AO$25,$E38,0)</f>
        <v>66.963637287216628</v>
      </c>
      <c r="AM38" s="150">
        <f ca="1">OFFSET(IND!AP$25,$E38,0)</f>
        <v>78.93305327341902</v>
      </c>
      <c r="AQ38" s="4"/>
    </row>
    <row r="39" spans="1:43">
      <c r="A39" s="36" t="s">
        <v>340</v>
      </c>
      <c r="B39">
        <v>16.901755910559999</v>
      </c>
      <c r="E39" s="153">
        <f ca="1">MATCH(F39,IND!$D$26:$D$255,0)</f>
        <v>51</v>
      </c>
      <c r="F39" s="4" t="str">
        <f t="shared" si="0"/>
        <v>IMIP</v>
      </c>
      <c r="G39" s="150">
        <f ca="1">OFFSET(IND!J$25,$E39,0)</f>
        <v>15.294517272248457</v>
      </c>
      <c r="H39" s="150">
        <f ca="1">OFFSET(IND!K$25,$E39,0)</f>
        <v>15.697995220766805</v>
      </c>
      <c r="I39" s="150">
        <f ca="1">OFFSET(IND!L$25,$E39,0)</f>
        <v>15.726193357931152</v>
      </c>
      <c r="J39" s="150">
        <f ca="1">OFFSET(IND!M$25,$E39,0)</f>
        <v>15.751005899293361</v>
      </c>
      <c r="K39" s="150">
        <f ca="1">OFFSET(IND!N$25,$E39,0)</f>
        <v>15.751005899293361</v>
      </c>
      <c r="L39" s="150">
        <f ca="1">OFFSET(IND!O$25,$E39,0)</f>
        <v>15.751005899293361</v>
      </c>
      <c r="M39" s="150">
        <f ca="1">OFFSET(IND!P$25,$E39,0)</f>
        <v>15.632874381278754</v>
      </c>
      <c r="N39" s="150">
        <f ca="1">OFFSET(IND!Q$25,$E39,0)</f>
        <v>15.412620333864073</v>
      </c>
      <c r="O39" s="243">
        <f ca="1">OFFSET(IND!R$25,$E39,0)</f>
        <v>14.203669782447253</v>
      </c>
      <c r="P39" s="150">
        <f ca="1">OFFSET(IND!S$25,$E39,0)</f>
        <v>14.512755509235202</v>
      </c>
      <c r="Q39" s="150">
        <f ca="1">OFFSET(IND!T$25,$E39,0)</f>
        <v>14.776541253854916</v>
      </c>
      <c r="R39" s="150">
        <f ca="1">OFFSET(IND!U$25,$E39,0)</f>
        <v>15.028687725670201</v>
      </c>
      <c r="S39" s="150">
        <f ca="1">OFFSET(IND!V$25,$E39,0)</f>
        <v>15.273508792977102</v>
      </c>
      <c r="T39" s="243">
        <f ca="1">OFFSET(IND!W$25,$E39,0)</f>
        <v>15.584616616116055</v>
      </c>
      <c r="U39" s="150">
        <f ca="1">OFFSET(IND!X$25,$E39,0)</f>
        <v>16.035420945151806</v>
      </c>
      <c r="V39" s="150">
        <f ca="1">OFFSET(IND!Y$25,$E39,0)</f>
        <v>16.520719022389219</v>
      </c>
      <c r="W39" s="150">
        <f ca="1">OFFSET(IND!Z$25,$E39,0)</f>
        <v>17.040921583331603</v>
      </c>
      <c r="X39" s="150">
        <f ca="1">OFFSET(IND!AA$25,$E39,0)</f>
        <v>17.511443507549014</v>
      </c>
      <c r="Y39" s="245">
        <f ca="1">OFFSET(IND!AB$25,$E39,0)</f>
        <v>18.046943701034028</v>
      </c>
      <c r="Z39" s="150">
        <f ca="1">OFFSET(IND!AC$25,$E39,0)</f>
        <v>18.480697909138659</v>
      </c>
      <c r="AA39" s="150">
        <f ca="1">OFFSET(IND!AD$25,$E39,0)</f>
        <v>18.882920339703762</v>
      </c>
      <c r="AB39" s="150">
        <f ca="1">OFFSET(IND!AE$25,$E39,0)</f>
        <v>19.311291073594326</v>
      </c>
      <c r="AC39" s="150">
        <f ca="1">OFFSET(IND!AF$25,$E39,0)</f>
        <v>19.758119433361685</v>
      </c>
      <c r="AD39" s="150">
        <f ca="1">OFFSET(IND!AG$25,$E39,0)</f>
        <v>20.213407538322571</v>
      </c>
      <c r="AE39" s="150">
        <f ca="1">OFFSET(IND!AH$25,$E39,0)</f>
        <v>20.716377843465171</v>
      </c>
      <c r="AF39" s="150">
        <f ca="1">OFFSET(IND!AI$25,$E39,0)</f>
        <v>21.239343909974298</v>
      </c>
      <c r="AG39" s="150">
        <f ca="1">OFFSET(IND!AJ$25,$E39,0)</f>
        <v>21.763079044228292</v>
      </c>
      <c r="AH39" s="150">
        <f ca="1">OFFSET(IND!AK$25,$E39,0)</f>
        <v>22.306809939848812</v>
      </c>
      <c r="AI39" s="150">
        <f ca="1">OFFSET(IND!AL$25,$E39,0)</f>
        <v>22.888994222712647</v>
      </c>
      <c r="AJ39" s="150">
        <f ca="1">OFFSET(IND!AM$25,$E39,0)</f>
        <v>25.710703778627323</v>
      </c>
      <c r="AK39" s="150">
        <f ca="1">OFFSET(IND!AN$25,$E39,0)</f>
        <v>29.224574304921731</v>
      </c>
      <c r="AL39" s="150">
        <f ca="1">OFFSET(IND!AO$25,$E39,0)</f>
        <v>35.44479422540094</v>
      </c>
      <c r="AM39" s="150">
        <f ca="1">OFFSET(IND!AP$25,$E39,0)</f>
        <v>41.780374307610103</v>
      </c>
      <c r="AQ39" s="4"/>
    </row>
    <row r="40" spans="1:43">
      <c r="A40" s="36" t="s">
        <v>341</v>
      </c>
      <c r="B40">
        <v>28.149155918999998</v>
      </c>
      <c r="E40" s="153">
        <f ca="1">MATCH(F40,IND!$D$26:$D$255,0)</f>
        <v>63</v>
      </c>
      <c r="F40" s="4" t="str">
        <f t="shared" si="0"/>
        <v>IMIR</v>
      </c>
      <c r="G40" s="150">
        <f ca="1">OFFSET(IND!J$25,$E40,0)</f>
        <v>51.488523217763458</v>
      </c>
      <c r="H40" s="150">
        <f ca="1">OFFSET(IND!K$25,$E40,0)</f>
        <v>52.846819354238278</v>
      </c>
      <c r="I40" s="150">
        <f ca="1">OFFSET(IND!L$25,$E40,0)</f>
        <v>52.941747517987423</v>
      </c>
      <c r="J40" s="150">
        <f ca="1">OFFSET(IND!M$25,$E40,0)</f>
        <v>46.045999999999999</v>
      </c>
      <c r="K40" s="150">
        <f ca="1">OFFSET(IND!N$25,$E40,0)</f>
        <v>46.045999999999999</v>
      </c>
      <c r="L40" s="150">
        <f ca="1">OFFSET(IND!O$25,$E40,0)</f>
        <v>46.045999999999999</v>
      </c>
      <c r="M40" s="150">
        <f ca="1">OFFSET(IND!P$25,$E40,0)</f>
        <v>45.700658000049089</v>
      </c>
      <c r="N40" s="150">
        <f ca="1">OFFSET(IND!Q$25,$E40,0)</f>
        <v>45.056774178780799</v>
      </c>
      <c r="O40" s="243">
        <f ca="1">OFFSET(IND!R$25,$E40,0)</f>
        <v>41.52256579574437</v>
      </c>
      <c r="P40" s="150">
        <f ca="1">OFFSET(IND!S$25,$E40,0)</f>
        <v>42.426137381373472</v>
      </c>
      <c r="Q40" s="150">
        <f ca="1">OFFSET(IND!T$25,$E40,0)</f>
        <v>43.197280410232615</v>
      </c>
      <c r="R40" s="150">
        <f ca="1">OFFSET(IND!U$25,$E40,0)</f>
        <v>43.934397551540236</v>
      </c>
      <c r="S40" s="150">
        <f ca="1">OFFSET(IND!V$25,$E40,0)</f>
        <v>44.650099833495403</v>
      </c>
      <c r="T40" s="243">
        <f ca="1">OFFSET(IND!W$25,$E40,0)</f>
        <v>45.559582752608456</v>
      </c>
      <c r="U40" s="150">
        <f ca="1">OFFSET(IND!X$25,$E40,0)</f>
        <v>46.877450085494893</v>
      </c>
      <c r="V40" s="150">
        <f ca="1">OFFSET(IND!Y$25,$E40,0)</f>
        <v>48.296155367389069</v>
      </c>
      <c r="W40" s="150">
        <f ca="1">OFFSET(IND!Z$25,$E40,0)</f>
        <v>49.81689932966691</v>
      </c>
      <c r="X40" s="150">
        <f ca="1">OFFSET(IND!AA$25,$E40,0)</f>
        <v>51.192408466101611</v>
      </c>
      <c r="Y40" s="245">
        <f ca="1">OFFSET(IND!AB$25,$E40,0)</f>
        <v>52.757873050831222</v>
      </c>
      <c r="Z40" s="150">
        <f ca="1">OFFSET(IND!AC$25,$E40,0)</f>
        <v>54.025896591301219</v>
      </c>
      <c r="AA40" s="150">
        <f ca="1">OFFSET(IND!AD$25,$E40,0)</f>
        <v>55.201741115531362</v>
      </c>
      <c r="AB40" s="150">
        <f ca="1">OFFSET(IND!AE$25,$E40,0)</f>
        <v>56.454026775179912</v>
      </c>
      <c r="AC40" s="150">
        <f ca="1">OFFSET(IND!AF$25,$E40,0)</f>
        <v>57.760270883359112</v>
      </c>
      <c r="AD40" s="150">
        <f ca="1">OFFSET(IND!AG$25,$E40,0)</f>
        <v>59.091245947114849</v>
      </c>
      <c r="AE40" s="150">
        <f ca="1">OFFSET(IND!AH$25,$E40,0)</f>
        <v>60.561613669574733</v>
      </c>
      <c r="AF40" s="150">
        <f ca="1">OFFSET(IND!AI$25,$E40,0)</f>
        <v>62.090436377942815</v>
      </c>
      <c r="AG40" s="150">
        <f ca="1">OFFSET(IND!AJ$25,$E40,0)</f>
        <v>63.621507354999665</v>
      </c>
      <c r="AH40" s="150">
        <f ca="1">OFFSET(IND!AK$25,$E40,0)</f>
        <v>65.21103331796472</v>
      </c>
      <c r="AI40" s="150">
        <f ca="1">OFFSET(IND!AL$25,$E40,0)</f>
        <v>66.912972715368596</v>
      </c>
      <c r="AJ40" s="150">
        <f ca="1">OFFSET(IND!AM$25,$E40,0)</f>
        <v>75.16187053448985</v>
      </c>
      <c r="AK40" s="150">
        <f ca="1">OFFSET(IND!AN$25,$E40,0)</f>
        <v>85.434210173510053</v>
      </c>
      <c r="AL40" s="150">
        <f ca="1">OFFSET(IND!AO$25,$E40,0)</f>
        <v>103.61820732833526</v>
      </c>
      <c r="AM40" s="150">
        <f ca="1">OFFSET(IND!AP$25,$E40,0)</f>
        <v>122.13944478647694</v>
      </c>
      <c r="AQ40" s="4"/>
    </row>
    <row r="41" spans="1:43">
      <c r="A41" s="36" t="s">
        <v>342</v>
      </c>
      <c r="B41">
        <v>5.2585839407999997E-2</v>
      </c>
      <c r="E41" s="153">
        <f ca="1">MATCH(F41,IND!$D$26:$D$255,0)</f>
        <v>56</v>
      </c>
      <c r="F41" s="4" t="str">
        <f t="shared" si="0"/>
        <v>IMIS</v>
      </c>
      <c r="G41" s="150">
        <f ca="1">OFFSET(IND!J$25,$E41,0)</f>
        <v>20.275122960000004</v>
      </c>
      <c r="H41" s="150">
        <f ca="1">OFFSET(IND!K$25,$E41,0)</f>
        <v>20.809992081544721</v>
      </c>
      <c r="I41" s="150">
        <f ca="1">OFFSET(IND!L$25,$E41,0)</f>
        <v>20.847372842772632</v>
      </c>
      <c r="J41" s="150">
        <f ca="1">OFFSET(IND!M$25,$E41,0)</f>
        <v>0.90805719120000006</v>
      </c>
      <c r="K41" s="150">
        <f ca="1">OFFSET(IND!N$25,$E41,0)</f>
        <v>0.90805719120000006</v>
      </c>
      <c r="L41" s="150">
        <f ca="1">OFFSET(IND!O$25,$E41,0)</f>
        <v>0.90805719120000006</v>
      </c>
      <c r="M41" s="150">
        <f ca="1">OFFSET(IND!P$25,$E41,0)</f>
        <v>0.90124682142892731</v>
      </c>
      <c r="N41" s="150">
        <f ca="1">OFFSET(IND!Q$25,$E41,0)</f>
        <v>0.8885490119731656</v>
      </c>
      <c r="O41" s="243">
        <f ca="1">OFFSET(IND!R$25,$E41,0)</f>
        <v>0.81885211457891727</v>
      </c>
      <c r="P41" s="150">
        <f ca="1">OFFSET(IND!S$25,$E41,0)</f>
        <v>0.83667113634181722</v>
      </c>
      <c r="Q41" s="150">
        <f ca="1">OFFSET(IND!T$25,$E41,0)</f>
        <v>0.8518785804802721</v>
      </c>
      <c r="R41" s="150">
        <f ca="1">OFFSET(IND!U$25,$E41,0)</f>
        <v>0.86641501189496983</v>
      </c>
      <c r="S41" s="150">
        <f ca="1">OFFSET(IND!V$25,$E41,0)</f>
        <v>0.88052912829786345</v>
      </c>
      <c r="T41" s="243">
        <f ca="1">OFFSET(IND!W$25,$E41,0)</f>
        <v>0.89846472541757361</v>
      </c>
      <c r="U41" s="150">
        <f ca="1">OFFSET(IND!X$25,$E41,0)</f>
        <v>0.924453929879961</v>
      </c>
      <c r="V41" s="150">
        <f ca="1">OFFSET(IND!Y$25,$E41,0)</f>
        <v>0.95243172455088643</v>
      </c>
      <c r="W41" s="150">
        <f ca="1">OFFSET(IND!Z$25,$E41,0)</f>
        <v>0.98242178863724305</v>
      </c>
      <c r="X41" s="150">
        <f ca="1">OFFSET(IND!AA$25,$E41,0)</f>
        <v>1.0095477271096585</v>
      </c>
      <c r="Y41" s="245">
        <f ca="1">OFFSET(IND!AB$25,$E41,0)</f>
        <v>1.0404197110764015</v>
      </c>
      <c r="Z41" s="150">
        <f ca="1">OFFSET(IND!AC$25,$E41,0)</f>
        <v>1.0654259634009176</v>
      </c>
      <c r="AA41" s="150">
        <f ca="1">OFFSET(IND!AD$25,$E41,0)</f>
        <v>1.088614385325956</v>
      </c>
      <c r="AB41" s="150">
        <f ca="1">OFFSET(IND!AE$25,$E41,0)</f>
        <v>1.1133102763627563</v>
      </c>
      <c r="AC41" s="150">
        <f ca="1">OFFSET(IND!AF$25,$E41,0)</f>
        <v>1.1390702632431531</v>
      </c>
      <c r="AD41" s="150">
        <f ca="1">OFFSET(IND!AG$25,$E41,0)</f>
        <v>1.1653179607185316</v>
      </c>
      <c r="AE41" s="150">
        <f ca="1">OFFSET(IND!AH$25,$E41,0)</f>
        <v>1.1943145724565341</v>
      </c>
      <c r="AF41" s="150">
        <f ca="1">OFFSET(IND!AI$25,$E41,0)</f>
        <v>1.2244639546917662</v>
      </c>
      <c r="AG41" s="150">
        <f ca="1">OFFSET(IND!AJ$25,$E41,0)</f>
        <v>1.2546576742538147</v>
      </c>
      <c r="AH41" s="150">
        <f ca="1">OFFSET(IND!AK$25,$E41,0)</f>
        <v>1.2860041643130928</v>
      </c>
      <c r="AI41" s="150">
        <f ca="1">OFFSET(IND!AL$25,$E41,0)</f>
        <v>1.3195675207131967</v>
      </c>
      <c r="AJ41" s="150">
        <f ca="1">OFFSET(IND!AM$25,$E41,0)</f>
        <v>1.4822411728029994</v>
      </c>
      <c r="AK41" s="150">
        <f ca="1">OFFSET(IND!AN$25,$E41,0)</f>
        <v>1.6848184190276685</v>
      </c>
      <c r="AL41" s="150">
        <f ca="1">OFFSET(IND!AO$25,$E41,0)</f>
        <v>2.0434187183196673</v>
      </c>
      <c r="AM41" s="150">
        <f ca="1">OFFSET(IND!AP$25,$E41,0)</f>
        <v>2.4086696166341435</v>
      </c>
      <c r="AQ41" s="4"/>
    </row>
    <row r="42" spans="1:43">
      <c r="A42" s="36" t="s">
        <v>343</v>
      </c>
      <c r="B42" t="s">
        <v>387</v>
      </c>
      <c r="E42" s="153">
        <f ca="1">MATCH(F42,IND!$D$26:$D$255,0)</f>
        <v>131</v>
      </c>
      <c r="F42" s="4" t="str">
        <f t="shared" si="0"/>
        <v>INFA</v>
      </c>
      <c r="G42" s="150">
        <f ca="1">OFFSET(IND!J$25,$E42,0)</f>
        <v>0</v>
      </c>
      <c r="H42" s="150">
        <f ca="1">OFFSET(IND!K$25,$E42,0)</f>
        <v>0</v>
      </c>
      <c r="I42" s="150">
        <f ca="1">OFFSET(IND!L$25,$E42,0)</f>
        <v>0</v>
      </c>
      <c r="J42" s="150">
        <f ca="1">OFFSET(IND!M$25,$E42,0)</f>
        <v>0</v>
      </c>
      <c r="K42" s="150">
        <f ca="1">OFFSET(IND!N$25,$E42,0)</f>
        <v>0</v>
      </c>
      <c r="L42" s="150">
        <f ca="1">OFFSET(IND!O$25,$E42,0)</f>
        <v>0</v>
      </c>
      <c r="M42" s="150">
        <f ca="1">OFFSET(IND!P$25,$E42,0)</f>
        <v>0</v>
      </c>
      <c r="N42" s="150">
        <f ca="1">OFFSET(IND!Q$25,$E42,0)</f>
        <v>0</v>
      </c>
      <c r="O42" s="243">
        <f ca="1">OFFSET(IND!R$25,$E42,0)</f>
        <v>0</v>
      </c>
      <c r="P42" s="150">
        <f ca="1">OFFSET(IND!S$25,$E42,0)</f>
        <v>0</v>
      </c>
      <c r="Q42" s="150">
        <f ca="1">OFFSET(IND!T$25,$E42,0)</f>
        <v>0</v>
      </c>
      <c r="R42" s="150">
        <f ca="1">OFFSET(IND!U$25,$E42,0)</f>
        <v>0</v>
      </c>
      <c r="S42" s="150">
        <f ca="1">OFFSET(IND!V$25,$E42,0)</f>
        <v>0</v>
      </c>
      <c r="T42" s="243">
        <f ca="1">OFFSET(IND!W$25,$E42,0)</f>
        <v>0</v>
      </c>
      <c r="U42" s="150">
        <f ca="1">OFFSET(IND!X$25,$E42,0)</f>
        <v>0</v>
      </c>
      <c r="V42" s="150">
        <f ca="1">OFFSET(IND!Y$25,$E42,0)</f>
        <v>0</v>
      </c>
      <c r="W42" s="150">
        <f ca="1">OFFSET(IND!Z$25,$E42,0)</f>
        <v>0</v>
      </c>
      <c r="X42" s="150">
        <f ca="1">OFFSET(IND!AA$25,$E42,0)</f>
        <v>0</v>
      </c>
      <c r="Y42" s="245">
        <f ca="1">OFFSET(IND!AB$25,$E42,0)</f>
        <v>0</v>
      </c>
      <c r="Z42" s="150">
        <f ca="1">OFFSET(IND!AC$25,$E42,0)</f>
        <v>0</v>
      </c>
      <c r="AA42" s="150">
        <f ca="1">OFFSET(IND!AD$25,$E42,0)</f>
        <v>0</v>
      </c>
      <c r="AB42" s="150">
        <f ca="1">OFFSET(IND!AE$25,$E42,0)</f>
        <v>0</v>
      </c>
      <c r="AC42" s="150">
        <f ca="1">OFFSET(IND!AF$25,$E42,0)</f>
        <v>0</v>
      </c>
      <c r="AD42" s="150">
        <f ca="1">OFFSET(IND!AG$25,$E42,0)</f>
        <v>0</v>
      </c>
      <c r="AE42" s="150">
        <f ca="1">OFFSET(IND!AH$25,$E42,0)</f>
        <v>0</v>
      </c>
      <c r="AF42" s="150">
        <f ca="1">OFFSET(IND!AI$25,$E42,0)</f>
        <v>0</v>
      </c>
      <c r="AG42" s="150">
        <f ca="1">OFFSET(IND!AJ$25,$E42,0)</f>
        <v>0</v>
      </c>
      <c r="AH42" s="150">
        <f ca="1">OFFSET(IND!AK$25,$E42,0)</f>
        <v>0</v>
      </c>
      <c r="AI42" s="150">
        <f ca="1">OFFSET(IND!AL$25,$E42,0)</f>
        <v>0</v>
      </c>
      <c r="AJ42" s="150">
        <f ca="1">OFFSET(IND!AM$25,$E42,0)</f>
        <v>0</v>
      </c>
      <c r="AK42" s="150">
        <f ca="1">OFFSET(IND!AN$25,$E42,0)</f>
        <v>0</v>
      </c>
      <c r="AL42" s="150">
        <f ca="1">OFFSET(IND!AO$25,$E42,0)</f>
        <v>0</v>
      </c>
      <c r="AM42" s="150">
        <f ca="1">OFFSET(IND!AP$25,$E42,0)</f>
        <v>0</v>
      </c>
      <c r="AQ42" s="4"/>
    </row>
    <row r="43" spans="1:43">
      <c r="A43" s="36" t="s">
        <v>344</v>
      </c>
      <c r="B43" t="s">
        <v>387</v>
      </c>
      <c r="E43" s="153">
        <f ca="1">MATCH(F43,IND!$D$26:$D$255,0)</f>
        <v>133</v>
      </c>
      <c r="F43" s="4" t="str">
        <f t="shared" si="0"/>
        <v>INFC</v>
      </c>
      <c r="G43" s="150">
        <f ca="1">OFFSET(IND!J$25,$E43,0)</f>
        <v>0</v>
      </c>
      <c r="H43" s="150">
        <f ca="1">OFFSET(IND!K$25,$E43,0)</f>
        <v>0</v>
      </c>
      <c r="I43" s="150">
        <f ca="1">OFFSET(IND!L$25,$E43,0)</f>
        <v>0</v>
      </c>
      <c r="J43" s="150">
        <f ca="1">OFFSET(IND!M$25,$E43,0)</f>
        <v>0</v>
      </c>
      <c r="K43" s="150">
        <f ca="1">OFFSET(IND!N$25,$E43,0)</f>
        <v>0</v>
      </c>
      <c r="L43" s="150">
        <f ca="1">OFFSET(IND!O$25,$E43,0)</f>
        <v>0</v>
      </c>
      <c r="M43" s="150">
        <f ca="1">OFFSET(IND!P$25,$E43,0)</f>
        <v>0</v>
      </c>
      <c r="N43" s="150">
        <f ca="1">OFFSET(IND!Q$25,$E43,0)</f>
        <v>0</v>
      </c>
      <c r="O43" s="243">
        <f ca="1">OFFSET(IND!R$25,$E43,0)</f>
        <v>0</v>
      </c>
      <c r="P43" s="150">
        <f ca="1">OFFSET(IND!S$25,$E43,0)</f>
        <v>0</v>
      </c>
      <c r="Q43" s="150">
        <f ca="1">OFFSET(IND!T$25,$E43,0)</f>
        <v>0</v>
      </c>
      <c r="R43" s="150">
        <f ca="1">OFFSET(IND!U$25,$E43,0)</f>
        <v>0</v>
      </c>
      <c r="S43" s="150">
        <f ca="1">OFFSET(IND!V$25,$E43,0)</f>
        <v>0</v>
      </c>
      <c r="T43" s="243">
        <f ca="1">OFFSET(IND!W$25,$E43,0)</f>
        <v>0</v>
      </c>
      <c r="U43" s="150">
        <f ca="1">OFFSET(IND!X$25,$E43,0)</f>
        <v>0</v>
      </c>
      <c r="V43" s="150">
        <f ca="1">OFFSET(IND!Y$25,$E43,0)</f>
        <v>0</v>
      </c>
      <c r="W43" s="150">
        <f ca="1">OFFSET(IND!Z$25,$E43,0)</f>
        <v>0</v>
      </c>
      <c r="X43" s="150">
        <f ca="1">OFFSET(IND!AA$25,$E43,0)</f>
        <v>0</v>
      </c>
      <c r="Y43" s="245">
        <f ca="1">OFFSET(IND!AB$25,$E43,0)</f>
        <v>0</v>
      </c>
      <c r="Z43" s="150">
        <f ca="1">OFFSET(IND!AC$25,$E43,0)</f>
        <v>0</v>
      </c>
      <c r="AA43" s="150">
        <f ca="1">OFFSET(IND!AD$25,$E43,0)</f>
        <v>0</v>
      </c>
      <c r="AB43" s="150">
        <f ca="1">OFFSET(IND!AE$25,$E43,0)</f>
        <v>0</v>
      </c>
      <c r="AC43" s="150">
        <f ca="1">OFFSET(IND!AF$25,$E43,0)</f>
        <v>0</v>
      </c>
      <c r="AD43" s="150">
        <f ca="1">OFFSET(IND!AG$25,$E43,0)</f>
        <v>0</v>
      </c>
      <c r="AE43" s="150">
        <f ca="1">OFFSET(IND!AH$25,$E43,0)</f>
        <v>0</v>
      </c>
      <c r="AF43" s="150">
        <f ca="1">OFFSET(IND!AI$25,$E43,0)</f>
        <v>0</v>
      </c>
      <c r="AG43" s="150">
        <f ca="1">OFFSET(IND!AJ$25,$E43,0)</f>
        <v>0</v>
      </c>
      <c r="AH43" s="150">
        <f ca="1">OFFSET(IND!AK$25,$E43,0)</f>
        <v>0</v>
      </c>
      <c r="AI43" s="150">
        <f ca="1">OFFSET(IND!AL$25,$E43,0)</f>
        <v>0</v>
      </c>
      <c r="AJ43" s="150">
        <f ca="1">OFFSET(IND!AM$25,$E43,0)</f>
        <v>0</v>
      </c>
      <c r="AK43" s="150">
        <f ca="1">OFFSET(IND!AN$25,$E43,0)</f>
        <v>0</v>
      </c>
      <c r="AL43" s="150">
        <f ca="1">OFFSET(IND!AO$25,$E43,0)</f>
        <v>0</v>
      </c>
      <c r="AM43" s="150">
        <f ca="1">OFFSET(IND!AP$25,$E43,0)</f>
        <v>0</v>
      </c>
      <c r="AQ43" s="4"/>
    </row>
    <row r="44" spans="1:43">
      <c r="A44" s="36" t="s">
        <v>345</v>
      </c>
      <c r="B44">
        <v>55.015944485879999</v>
      </c>
      <c r="E44" s="153">
        <f ca="1">MATCH(F44,IND!$D$26:$D$255,0)</f>
        <v>138</v>
      </c>
      <c r="F44" s="4" t="str">
        <f t="shared" si="0"/>
        <v>INFE</v>
      </c>
      <c r="G44" s="150">
        <f ca="1">OFFSET(IND!J$25,$E44,0)</f>
        <v>45.684078335879221</v>
      </c>
      <c r="H44" s="150">
        <f ca="1">OFFSET(IND!K$25,$E44,0)</f>
        <v>38.092658790451225</v>
      </c>
      <c r="I44" s="150">
        <f ca="1">OFFSET(IND!L$25,$E44,0)</f>
        <v>32.805777321313869</v>
      </c>
      <c r="J44" s="150">
        <f ca="1">OFFSET(IND!M$25,$E44,0)</f>
        <v>36.990036000000003</v>
      </c>
      <c r="K44" s="150">
        <f ca="1">OFFSET(IND!N$25,$E44,0)</f>
        <v>36.990036000000003</v>
      </c>
      <c r="L44" s="150">
        <f ca="1">OFFSET(IND!O$25,$E44,0)</f>
        <v>36.990036000000003</v>
      </c>
      <c r="M44" s="150">
        <f ca="1">OFFSET(IND!P$25,$E44,0)</f>
        <v>36.245270174496646</v>
      </c>
      <c r="N44" s="150">
        <f ca="1">OFFSET(IND!Q$25,$E44,0)</f>
        <v>34.259227973154367</v>
      </c>
      <c r="O44" s="243">
        <f ca="1">OFFSET(IND!R$25,$E44,0)</f>
        <v>28.114909912751685</v>
      </c>
      <c r="P44" s="150">
        <f ca="1">OFFSET(IND!S$25,$E44,0)</f>
        <v>29.107931013422824</v>
      </c>
      <c r="Q44" s="150">
        <f ca="1">OFFSET(IND!T$25,$E44,0)</f>
        <v>29.232058651006714</v>
      </c>
      <c r="R44" s="150">
        <f ca="1">OFFSET(IND!U$25,$E44,0)</f>
        <v>29.418250107382551</v>
      </c>
      <c r="S44" s="150">
        <f ca="1">OFFSET(IND!V$25,$E44,0)</f>
        <v>29.604441563758385</v>
      </c>
      <c r="T44" s="243">
        <f ca="1">OFFSET(IND!W$25,$E44,0)</f>
        <v>30.038888295302012</v>
      </c>
      <c r="U44" s="150">
        <f ca="1">OFFSET(IND!X$25,$E44,0)</f>
        <v>31.0939732147651</v>
      </c>
      <c r="V44" s="150">
        <f ca="1">OFFSET(IND!Y$25,$E44,0)</f>
        <v>32.335249590604022</v>
      </c>
      <c r="W44" s="150">
        <f ca="1">OFFSET(IND!Z$25,$E44,0)</f>
        <v>33.824781241610729</v>
      </c>
      <c r="X44" s="150">
        <f ca="1">OFFSET(IND!AA$25,$E44,0)</f>
        <v>35.003993798657703</v>
      </c>
      <c r="Y44" s="245">
        <f ca="1">OFFSET(IND!AB$25,$E44,0)</f>
        <v>36.493525449664418</v>
      </c>
      <c r="Z44" s="150">
        <f ca="1">OFFSET(IND!AC$25,$E44,0)</f>
        <v>37.734801825503347</v>
      </c>
      <c r="AA44" s="150">
        <f ca="1">OFFSET(IND!AD$25,$E44,0)</f>
        <v>38.541631469798645</v>
      </c>
      <c r="AB44" s="150">
        <f ca="1">OFFSET(IND!AE$25,$E44,0)</f>
        <v>39.47258875167784</v>
      </c>
      <c r="AC44" s="150">
        <f ca="1">OFFSET(IND!AF$25,$E44,0)</f>
        <v>40.465609852348969</v>
      </c>
      <c r="AD44" s="150">
        <f ca="1">OFFSET(IND!AG$25,$E44,0)</f>
        <v>41.334503315436223</v>
      </c>
      <c r="AE44" s="150">
        <f ca="1">OFFSET(IND!AH$25,$E44,0)</f>
        <v>42.389588234899314</v>
      </c>
      <c r="AF44" s="150">
        <f ca="1">OFFSET(IND!AI$25,$E44,0)</f>
        <v>43.444673154362398</v>
      </c>
      <c r="AG44" s="150">
        <f ca="1">OFFSET(IND!AJ$25,$E44,0)</f>
        <v>44.499758073825483</v>
      </c>
      <c r="AH44" s="150">
        <f ca="1">OFFSET(IND!AK$25,$E44,0)</f>
        <v>45.554842993288567</v>
      </c>
      <c r="AI44" s="150">
        <f ca="1">OFFSET(IND!AL$25,$E44,0)</f>
        <v>46.671991731543599</v>
      </c>
      <c r="AJ44" s="150">
        <f ca="1">OFFSET(IND!AM$25,$E44,0)</f>
        <v>50.147565583892593</v>
      </c>
      <c r="AK44" s="150">
        <f ca="1">OFFSET(IND!AN$25,$E44,0)</f>
        <v>54.740288174496619</v>
      </c>
      <c r="AL44" s="150">
        <f ca="1">OFFSET(IND!AO$25,$E44,0)</f>
        <v>62.622393161073646</v>
      </c>
      <c r="AM44" s="150">
        <f ca="1">OFFSET(IND!AP$25,$E44,0)</f>
        <v>70.69068960402673</v>
      </c>
      <c r="AQ44" s="4"/>
    </row>
    <row r="45" spans="1:43">
      <c r="A45" s="36" t="s">
        <v>346</v>
      </c>
      <c r="B45" t="s">
        <v>387</v>
      </c>
      <c r="E45" s="153">
        <f ca="1">MATCH(F45,IND!$D$26:$D$255,0)</f>
        <v>136</v>
      </c>
      <c r="F45" s="4" t="str">
        <f t="shared" si="0"/>
        <v>INFF</v>
      </c>
      <c r="G45" s="150">
        <f ca="1">OFFSET(IND!J$25,$E45,0)</f>
        <v>0</v>
      </c>
      <c r="H45" s="150">
        <f ca="1">OFFSET(IND!K$25,$E45,0)</f>
        <v>0</v>
      </c>
      <c r="I45" s="150">
        <f ca="1">OFFSET(IND!L$25,$E45,0)</f>
        <v>0</v>
      </c>
      <c r="J45" s="150">
        <f ca="1">OFFSET(IND!M$25,$E45,0)</f>
        <v>0</v>
      </c>
      <c r="K45" s="150">
        <f ca="1">OFFSET(IND!N$25,$E45,0)</f>
        <v>0</v>
      </c>
      <c r="L45" s="150">
        <f ca="1">OFFSET(IND!O$25,$E45,0)</f>
        <v>0</v>
      </c>
      <c r="M45" s="150">
        <f ca="1">OFFSET(IND!P$25,$E45,0)</f>
        <v>0</v>
      </c>
      <c r="N45" s="150">
        <f ca="1">OFFSET(IND!Q$25,$E45,0)</f>
        <v>0</v>
      </c>
      <c r="O45" s="243">
        <f ca="1">OFFSET(IND!R$25,$E45,0)</f>
        <v>0</v>
      </c>
      <c r="P45" s="150">
        <f ca="1">OFFSET(IND!S$25,$E45,0)</f>
        <v>0</v>
      </c>
      <c r="Q45" s="150">
        <f ca="1">OFFSET(IND!T$25,$E45,0)</f>
        <v>0</v>
      </c>
      <c r="R45" s="150">
        <f ca="1">OFFSET(IND!U$25,$E45,0)</f>
        <v>0</v>
      </c>
      <c r="S45" s="150">
        <f ca="1">OFFSET(IND!V$25,$E45,0)</f>
        <v>0</v>
      </c>
      <c r="T45" s="243">
        <f ca="1">OFFSET(IND!W$25,$E45,0)</f>
        <v>0</v>
      </c>
      <c r="U45" s="150">
        <f ca="1">OFFSET(IND!X$25,$E45,0)</f>
        <v>0</v>
      </c>
      <c r="V45" s="150">
        <f ca="1">OFFSET(IND!Y$25,$E45,0)</f>
        <v>0</v>
      </c>
      <c r="W45" s="150">
        <f ca="1">OFFSET(IND!Z$25,$E45,0)</f>
        <v>0</v>
      </c>
      <c r="X45" s="150">
        <f ca="1">OFFSET(IND!AA$25,$E45,0)</f>
        <v>0</v>
      </c>
      <c r="Y45" s="245">
        <f ca="1">OFFSET(IND!AB$25,$E45,0)</f>
        <v>0</v>
      </c>
      <c r="Z45" s="150">
        <f ca="1">OFFSET(IND!AC$25,$E45,0)</f>
        <v>0</v>
      </c>
      <c r="AA45" s="150">
        <f ca="1">OFFSET(IND!AD$25,$E45,0)</f>
        <v>0</v>
      </c>
      <c r="AB45" s="150">
        <f ca="1">OFFSET(IND!AE$25,$E45,0)</f>
        <v>0</v>
      </c>
      <c r="AC45" s="150">
        <f ca="1">OFFSET(IND!AF$25,$E45,0)</f>
        <v>0</v>
      </c>
      <c r="AD45" s="150">
        <f ca="1">OFFSET(IND!AG$25,$E45,0)</f>
        <v>0</v>
      </c>
      <c r="AE45" s="150">
        <f ca="1">OFFSET(IND!AH$25,$E45,0)</f>
        <v>0</v>
      </c>
      <c r="AF45" s="150">
        <f ca="1">OFFSET(IND!AI$25,$E45,0)</f>
        <v>0</v>
      </c>
      <c r="AG45" s="150">
        <f ca="1">OFFSET(IND!AJ$25,$E45,0)</f>
        <v>0</v>
      </c>
      <c r="AH45" s="150">
        <f ca="1">OFFSET(IND!AK$25,$E45,0)</f>
        <v>0</v>
      </c>
      <c r="AI45" s="150">
        <f ca="1">OFFSET(IND!AL$25,$E45,0)</f>
        <v>0</v>
      </c>
      <c r="AJ45" s="150">
        <f ca="1">OFFSET(IND!AM$25,$E45,0)</f>
        <v>0</v>
      </c>
      <c r="AK45" s="150">
        <f ca="1">OFFSET(IND!AN$25,$E45,0)</f>
        <v>0</v>
      </c>
      <c r="AL45" s="150">
        <f ca="1">OFFSET(IND!AO$25,$E45,0)</f>
        <v>0</v>
      </c>
      <c r="AM45" s="150">
        <f ca="1">OFFSET(IND!AP$25,$E45,0)</f>
        <v>0</v>
      </c>
      <c r="AQ45" s="4"/>
    </row>
    <row r="46" spans="1:43">
      <c r="A46" s="36" t="s">
        <v>347</v>
      </c>
      <c r="B46">
        <v>0.72389400639309998</v>
      </c>
      <c r="E46" s="153">
        <f ca="1">MATCH(F46,IND!$D$26:$D$255,0)</f>
        <v>134</v>
      </c>
      <c r="F46" s="4" t="str">
        <f t="shared" si="0"/>
        <v>INFH</v>
      </c>
      <c r="G46" s="150">
        <f ca="1">OFFSET(IND!J$25,$E46,0)</f>
        <v>0.60110629389314751</v>
      </c>
      <c r="H46" s="150">
        <f ca="1">OFFSET(IND!K$25,$E46,0)</f>
        <v>0.50121919461120013</v>
      </c>
      <c r="I46" s="150">
        <f ca="1">OFFSET(IND!L$25,$E46,0)</f>
        <v>0.43165496475412962</v>
      </c>
      <c r="J46" s="150">
        <f ca="1">OFFSET(IND!M$25,$E46,0)</f>
        <v>0.486711</v>
      </c>
      <c r="K46" s="150">
        <f ca="1">OFFSET(IND!N$25,$E46,0)</f>
        <v>0.486711</v>
      </c>
      <c r="L46" s="150">
        <f ca="1">OFFSET(IND!O$25,$E46,0)</f>
        <v>0.486711</v>
      </c>
      <c r="M46" s="150">
        <f ca="1">OFFSET(IND!P$25,$E46,0)</f>
        <v>0.47691144966442955</v>
      </c>
      <c r="N46" s="150">
        <f ca="1">OFFSET(IND!Q$25,$E46,0)</f>
        <v>0.45077931543624161</v>
      </c>
      <c r="O46" s="243">
        <f ca="1">OFFSET(IND!R$25,$E46,0)</f>
        <v>0.36993302516778526</v>
      </c>
      <c r="P46" s="150">
        <f ca="1">OFFSET(IND!S$25,$E46,0)</f>
        <v>0.38299909228187923</v>
      </c>
      <c r="Q46" s="150">
        <f ca="1">OFFSET(IND!T$25,$E46,0)</f>
        <v>0.38463235067114093</v>
      </c>
      <c r="R46" s="150">
        <f ca="1">OFFSET(IND!U$25,$E46,0)</f>
        <v>0.38708223825503357</v>
      </c>
      <c r="S46" s="150">
        <f ca="1">OFFSET(IND!V$25,$E46,0)</f>
        <v>0.3895321258389261</v>
      </c>
      <c r="T46" s="243">
        <f ca="1">OFFSET(IND!W$25,$E46,0)</f>
        <v>0.39524853020134226</v>
      </c>
      <c r="U46" s="150">
        <f ca="1">OFFSET(IND!X$25,$E46,0)</f>
        <v>0.40913122651006711</v>
      </c>
      <c r="V46" s="150">
        <f ca="1">OFFSET(IND!Y$25,$E46,0)</f>
        <v>0.42546381040268455</v>
      </c>
      <c r="W46" s="150">
        <f ca="1">OFFSET(IND!Z$25,$E46,0)</f>
        <v>0.44506291107382545</v>
      </c>
      <c r="X46" s="150">
        <f ca="1">OFFSET(IND!AA$25,$E46,0)</f>
        <v>0.46057886577181195</v>
      </c>
      <c r="Y46" s="245">
        <f ca="1">OFFSET(IND!AB$25,$E46,0)</f>
        <v>0.48017796644295291</v>
      </c>
      <c r="Z46" s="150">
        <f ca="1">OFFSET(IND!AC$25,$E46,0)</f>
        <v>0.4965105503355704</v>
      </c>
      <c r="AA46" s="150">
        <f ca="1">OFFSET(IND!AD$25,$E46,0)</f>
        <v>0.50712672986577167</v>
      </c>
      <c r="AB46" s="150">
        <f ca="1">OFFSET(IND!AE$25,$E46,0)</f>
        <v>0.51937616778523477</v>
      </c>
      <c r="AC46" s="150">
        <f ca="1">OFFSET(IND!AF$25,$E46,0)</f>
        <v>0.53244223489932863</v>
      </c>
      <c r="AD46" s="150">
        <f ca="1">OFFSET(IND!AG$25,$E46,0)</f>
        <v>0.54387504362416084</v>
      </c>
      <c r="AE46" s="150">
        <f ca="1">OFFSET(IND!AH$25,$E46,0)</f>
        <v>0.55775773993288569</v>
      </c>
      <c r="AF46" s="150">
        <f ca="1">OFFSET(IND!AI$25,$E46,0)</f>
        <v>0.57164043624161043</v>
      </c>
      <c r="AG46" s="150">
        <f ca="1">OFFSET(IND!AJ$25,$E46,0)</f>
        <v>0.58552313255033528</v>
      </c>
      <c r="AH46" s="150">
        <f ca="1">OFFSET(IND!AK$25,$E46,0)</f>
        <v>0.59940582885906002</v>
      </c>
      <c r="AI46" s="150">
        <f ca="1">OFFSET(IND!AL$25,$E46,0)</f>
        <v>0.61410515436241575</v>
      </c>
      <c r="AJ46" s="150">
        <f ca="1">OFFSET(IND!AM$25,$E46,0)</f>
        <v>0.65983638926174459</v>
      </c>
      <c r="AK46" s="150">
        <f ca="1">OFFSET(IND!AN$25,$E46,0)</f>
        <v>0.72026694966442917</v>
      </c>
      <c r="AL46" s="150">
        <f ca="1">OFFSET(IND!AO$25,$E46,0)</f>
        <v>0.82397885738254795</v>
      </c>
      <c r="AM46" s="150">
        <f ca="1">OFFSET(IND!AP$25,$E46,0)</f>
        <v>0.93014065268456214</v>
      </c>
      <c r="AQ46" s="4"/>
    </row>
    <row r="47" spans="1:43">
      <c r="A47" s="36" t="s">
        <v>348</v>
      </c>
      <c r="B47">
        <v>0.80432667377019995</v>
      </c>
      <c r="E47" s="153">
        <f ca="1">MATCH(F47,IND!$D$26:$D$255,0)</f>
        <v>130</v>
      </c>
      <c r="F47" s="4" t="str">
        <f t="shared" si="0"/>
        <v>INFK</v>
      </c>
      <c r="G47" s="150">
        <f ca="1">OFFSET(IND!J$25,$E47,0)</f>
        <v>0.66789588210349726</v>
      </c>
      <c r="H47" s="150">
        <f ca="1">OFFSET(IND!K$25,$E47,0)</f>
        <v>0.55691021623466685</v>
      </c>
      <c r="I47" s="150">
        <f ca="1">OFFSET(IND!L$25,$E47,0)</f>
        <v>0.47961662750458856</v>
      </c>
      <c r="J47" s="150">
        <f ca="1">OFFSET(IND!M$25,$E47,0)</f>
        <v>0.54078999999999999</v>
      </c>
      <c r="K47" s="150">
        <f ca="1">OFFSET(IND!N$25,$E47,0)</f>
        <v>0.54078999999999999</v>
      </c>
      <c r="L47" s="150">
        <f ca="1">OFFSET(IND!O$25,$E47,0)</f>
        <v>0.54078999999999999</v>
      </c>
      <c r="M47" s="150">
        <f ca="1">OFFSET(IND!P$25,$E47,0)</f>
        <v>0.52990161073825504</v>
      </c>
      <c r="N47" s="150">
        <f ca="1">OFFSET(IND!Q$25,$E47,0)</f>
        <v>0.50086590604026848</v>
      </c>
      <c r="O47" s="243">
        <f ca="1">OFFSET(IND!R$25,$E47,0)</f>
        <v>0.41103669463087256</v>
      </c>
      <c r="P47" s="150">
        <f ca="1">OFFSET(IND!S$25,$E47,0)</f>
        <v>0.42555454697986583</v>
      </c>
      <c r="Q47" s="150">
        <f ca="1">OFFSET(IND!T$25,$E47,0)</f>
        <v>0.42736927852348994</v>
      </c>
      <c r="R47" s="150">
        <f ca="1">OFFSET(IND!U$25,$E47,0)</f>
        <v>0.4300913758389262</v>
      </c>
      <c r="S47" s="150">
        <f ca="1">OFFSET(IND!V$25,$E47,0)</f>
        <v>0.43281347315436236</v>
      </c>
      <c r="T47" s="243">
        <f ca="1">OFFSET(IND!W$25,$E47,0)</f>
        <v>0.439165033557047</v>
      </c>
      <c r="U47" s="150">
        <f ca="1">OFFSET(IND!X$25,$E47,0)</f>
        <v>0.45459025167785239</v>
      </c>
      <c r="V47" s="150">
        <f ca="1">OFFSET(IND!Y$25,$E47,0)</f>
        <v>0.47273756711409398</v>
      </c>
      <c r="W47" s="150">
        <f ca="1">OFFSET(IND!Z$25,$E47,0)</f>
        <v>0.4945143456375839</v>
      </c>
      <c r="X47" s="150">
        <f ca="1">OFFSET(IND!AA$25,$E47,0)</f>
        <v>0.51175429530201333</v>
      </c>
      <c r="Y47" s="245">
        <f ca="1">OFFSET(IND!AB$25,$E47,0)</f>
        <v>0.53353107382550324</v>
      </c>
      <c r="Z47" s="150">
        <f ca="1">OFFSET(IND!AC$25,$E47,0)</f>
        <v>0.55167838926174484</v>
      </c>
      <c r="AA47" s="150">
        <f ca="1">OFFSET(IND!AD$25,$E47,0)</f>
        <v>0.56347414429530185</v>
      </c>
      <c r="AB47" s="150">
        <f ca="1">OFFSET(IND!AE$25,$E47,0)</f>
        <v>0.57708463087248307</v>
      </c>
      <c r="AC47" s="150">
        <f ca="1">OFFSET(IND!AF$25,$E47,0)</f>
        <v>0.59160248322147624</v>
      </c>
      <c r="AD47" s="150">
        <f ca="1">OFFSET(IND!AG$25,$E47,0)</f>
        <v>0.60430560402684541</v>
      </c>
      <c r="AE47" s="150">
        <f ca="1">OFFSET(IND!AH$25,$E47,0)</f>
        <v>0.61973082214765085</v>
      </c>
      <c r="AF47" s="150">
        <f ca="1">OFFSET(IND!AI$25,$E47,0)</f>
        <v>0.63515604026845618</v>
      </c>
      <c r="AG47" s="150">
        <f ca="1">OFFSET(IND!AJ$25,$E47,0)</f>
        <v>0.65058125838926151</v>
      </c>
      <c r="AH47" s="150">
        <f ca="1">OFFSET(IND!AK$25,$E47,0)</f>
        <v>0.66600647651006684</v>
      </c>
      <c r="AI47" s="150">
        <f ca="1">OFFSET(IND!AL$25,$E47,0)</f>
        <v>0.68233906040268433</v>
      </c>
      <c r="AJ47" s="150">
        <f ca="1">OFFSET(IND!AM$25,$E47,0)</f>
        <v>0.73315154362416091</v>
      </c>
      <c r="AK47" s="150">
        <f ca="1">OFFSET(IND!AN$25,$E47,0)</f>
        <v>0.80029661073825487</v>
      </c>
      <c r="AL47" s="150">
        <f ca="1">OFFSET(IND!AO$25,$E47,0)</f>
        <v>0.9155320637583868</v>
      </c>
      <c r="AM47" s="150">
        <f ca="1">OFFSET(IND!AP$25,$E47,0)</f>
        <v>1.0334896140939582</v>
      </c>
      <c r="AQ47" s="4"/>
    </row>
    <row r="48" spans="1:43">
      <c r="A48" s="36" t="s">
        <v>349</v>
      </c>
      <c r="B48">
        <v>0.241298002131</v>
      </c>
      <c r="E48" s="153">
        <f ca="1">MATCH(F48,IND!$D$26:$D$255,0)</f>
        <v>132</v>
      </c>
      <c r="F48" s="4" t="str">
        <f t="shared" si="0"/>
        <v>INFL</v>
      </c>
      <c r="G48" s="150">
        <f ca="1">OFFSET(IND!J$25,$E48,0)</f>
        <v>0.20036876463104916</v>
      </c>
      <c r="H48" s="150">
        <f ca="1">OFFSET(IND!K$25,$E48,0)</f>
        <v>0.16707306487040005</v>
      </c>
      <c r="I48" s="150">
        <f ca="1">OFFSET(IND!L$25,$E48,0)</f>
        <v>0.14388498825137655</v>
      </c>
      <c r="J48" s="150">
        <f ca="1">OFFSET(IND!M$25,$E48,0)</f>
        <v>0.16223699999999999</v>
      </c>
      <c r="K48" s="150">
        <f ca="1">OFFSET(IND!N$25,$E48,0)</f>
        <v>0.16223699999999999</v>
      </c>
      <c r="L48" s="150">
        <f ca="1">OFFSET(IND!O$25,$E48,0)</f>
        <v>0.16223699999999999</v>
      </c>
      <c r="M48" s="150">
        <f ca="1">OFFSET(IND!P$25,$E48,0)</f>
        <v>0.1589704832214765</v>
      </c>
      <c r="N48" s="150">
        <f ca="1">OFFSET(IND!Q$25,$E48,0)</f>
        <v>0.15025977181208053</v>
      </c>
      <c r="O48" s="243">
        <f ca="1">OFFSET(IND!R$25,$E48,0)</f>
        <v>0.12331100838926175</v>
      </c>
      <c r="P48" s="150">
        <f ca="1">OFFSET(IND!S$25,$E48,0)</f>
        <v>0.12766636409395973</v>
      </c>
      <c r="Q48" s="150">
        <f ca="1">OFFSET(IND!T$25,$E48,0)</f>
        <v>0.12821078355704696</v>
      </c>
      <c r="R48" s="150">
        <f ca="1">OFFSET(IND!U$25,$E48,0)</f>
        <v>0.12902741275167784</v>
      </c>
      <c r="S48" s="150">
        <f ca="1">OFFSET(IND!V$25,$E48,0)</f>
        <v>0.12984404194630869</v>
      </c>
      <c r="T48" s="243">
        <f ca="1">OFFSET(IND!W$25,$E48,0)</f>
        <v>0.13174951006711408</v>
      </c>
      <c r="U48" s="150">
        <f ca="1">OFFSET(IND!X$25,$E48,0)</f>
        <v>0.1363770755033557</v>
      </c>
      <c r="V48" s="150">
        <f ca="1">OFFSET(IND!Y$25,$E48,0)</f>
        <v>0.14182127013422818</v>
      </c>
      <c r="W48" s="150">
        <f ca="1">OFFSET(IND!Z$25,$E48,0)</f>
        <v>0.14835430369127517</v>
      </c>
      <c r="X48" s="150">
        <f ca="1">OFFSET(IND!AA$25,$E48,0)</f>
        <v>0.15352628859060399</v>
      </c>
      <c r="Y48" s="245">
        <f ca="1">OFFSET(IND!AB$25,$E48,0)</f>
        <v>0.16005932214765098</v>
      </c>
      <c r="Z48" s="150">
        <f ca="1">OFFSET(IND!AC$25,$E48,0)</f>
        <v>0.16550351677852346</v>
      </c>
      <c r="AA48" s="150">
        <f ca="1">OFFSET(IND!AD$25,$E48,0)</f>
        <v>0.16904224328859055</v>
      </c>
      <c r="AB48" s="150">
        <f ca="1">OFFSET(IND!AE$25,$E48,0)</f>
        <v>0.17312538926174492</v>
      </c>
      <c r="AC48" s="150">
        <f ca="1">OFFSET(IND!AF$25,$E48,0)</f>
        <v>0.17748074496644287</v>
      </c>
      <c r="AD48" s="150">
        <f ca="1">OFFSET(IND!AG$25,$E48,0)</f>
        <v>0.18129168120805361</v>
      </c>
      <c r="AE48" s="150">
        <f ca="1">OFFSET(IND!AH$25,$E48,0)</f>
        <v>0.18591924664429524</v>
      </c>
      <c r="AF48" s="150">
        <f ca="1">OFFSET(IND!AI$25,$E48,0)</f>
        <v>0.19054681208053684</v>
      </c>
      <c r="AG48" s="150">
        <f ca="1">OFFSET(IND!AJ$25,$E48,0)</f>
        <v>0.19517437751677844</v>
      </c>
      <c r="AH48" s="150">
        <f ca="1">OFFSET(IND!AK$25,$E48,0)</f>
        <v>0.19980194295302003</v>
      </c>
      <c r="AI48" s="150">
        <f ca="1">OFFSET(IND!AL$25,$E48,0)</f>
        <v>0.20470171812080526</v>
      </c>
      <c r="AJ48" s="150">
        <f ca="1">OFFSET(IND!AM$25,$E48,0)</f>
        <v>0.21994546308724822</v>
      </c>
      <c r="AK48" s="150">
        <f ca="1">OFFSET(IND!AN$25,$E48,0)</f>
        <v>0.24008898322147643</v>
      </c>
      <c r="AL48" s="150">
        <f ca="1">OFFSET(IND!AO$25,$E48,0)</f>
        <v>0.27465961912751602</v>
      </c>
      <c r="AM48" s="150">
        <f ca="1">OFFSET(IND!AP$25,$E48,0)</f>
        <v>0.31004688422818744</v>
      </c>
      <c r="AQ48" s="4"/>
    </row>
    <row r="49" spans="1:43">
      <c r="A49" s="36" t="s">
        <v>350</v>
      </c>
      <c r="B49">
        <v>4.5042293731129996</v>
      </c>
      <c r="E49" s="153">
        <f ca="1">MATCH(F49,IND!$D$26:$D$255,0)</f>
        <v>137</v>
      </c>
      <c r="F49" s="4" t="str">
        <f t="shared" si="0"/>
        <v>INFO</v>
      </c>
      <c r="G49" s="150">
        <f ca="1">OFFSET(IND!J$25,$E49,0)</f>
        <v>3.7402169397795855</v>
      </c>
      <c r="H49" s="150">
        <f ca="1">OFFSET(IND!K$25,$E49,0)</f>
        <v>3.1186972109141351</v>
      </c>
      <c r="I49" s="150">
        <f ca="1">OFFSET(IND!L$25,$E49,0)</f>
        <v>2.6858531140256963</v>
      </c>
      <c r="J49" s="150">
        <f ca="1">OFFSET(IND!M$25,$E49,0)</f>
        <v>3.0284240000000007</v>
      </c>
      <c r="K49" s="150">
        <f ca="1">OFFSET(IND!N$25,$E49,0)</f>
        <v>3.0284240000000007</v>
      </c>
      <c r="L49" s="150">
        <f ca="1">OFFSET(IND!O$25,$E49,0)</f>
        <v>3.0284240000000007</v>
      </c>
      <c r="M49" s="150">
        <f ca="1">OFFSET(IND!P$25,$E49,0)</f>
        <v>2.9674490201342287</v>
      </c>
      <c r="N49" s="150">
        <f ca="1">OFFSET(IND!Q$25,$E49,0)</f>
        <v>2.8048490738255039</v>
      </c>
      <c r="O49" s="243">
        <f ca="1">OFFSET(IND!R$25,$E49,0)</f>
        <v>2.3018054899328866</v>
      </c>
      <c r="P49" s="150">
        <f ca="1">OFFSET(IND!S$25,$E49,0)</f>
        <v>2.383105463087249</v>
      </c>
      <c r="Q49" s="150">
        <f ca="1">OFFSET(IND!T$25,$E49,0)</f>
        <v>2.3932679597315443</v>
      </c>
      <c r="R49" s="150">
        <f ca="1">OFFSET(IND!U$25,$E49,0)</f>
        <v>2.4085117046979874</v>
      </c>
      <c r="S49" s="150">
        <f ca="1">OFFSET(IND!V$25,$E49,0)</f>
        <v>2.42375544966443</v>
      </c>
      <c r="T49" s="243">
        <f ca="1">OFFSET(IND!W$25,$E49,0)</f>
        <v>2.4593241879194641</v>
      </c>
      <c r="U49" s="150">
        <f ca="1">OFFSET(IND!X$25,$E49,0)</f>
        <v>2.5457054093959743</v>
      </c>
      <c r="V49" s="150">
        <f ca="1">OFFSET(IND!Y$25,$E49,0)</f>
        <v>2.6473303758389273</v>
      </c>
      <c r="W49" s="150">
        <f ca="1">OFFSET(IND!Z$25,$E49,0)</f>
        <v>2.7692803355704707</v>
      </c>
      <c r="X49" s="150">
        <f ca="1">OFFSET(IND!AA$25,$E49,0)</f>
        <v>2.8658240536912758</v>
      </c>
      <c r="Y49" s="245">
        <f ca="1">OFFSET(IND!AB$25,$E49,0)</f>
        <v>2.9877740134228197</v>
      </c>
      <c r="Z49" s="150">
        <f ca="1">OFFSET(IND!AC$25,$E49,0)</f>
        <v>3.0893989798657731</v>
      </c>
      <c r="AA49" s="150">
        <f ca="1">OFFSET(IND!AD$25,$E49,0)</f>
        <v>3.1554552080536924</v>
      </c>
      <c r="AB49" s="150">
        <f ca="1">OFFSET(IND!AE$25,$E49,0)</f>
        <v>3.2316739328859074</v>
      </c>
      <c r="AC49" s="150">
        <f ca="1">OFFSET(IND!AF$25,$E49,0)</f>
        <v>3.312973906040269</v>
      </c>
      <c r="AD49" s="150">
        <f ca="1">OFFSET(IND!AG$25,$E49,0)</f>
        <v>3.3841113825503366</v>
      </c>
      <c r="AE49" s="150">
        <f ca="1">OFFSET(IND!AH$25,$E49,0)</f>
        <v>3.4704926040268469</v>
      </c>
      <c r="AF49" s="150">
        <f ca="1">OFFSET(IND!AI$25,$E49,0)</f>
        <v>3.5568738255033567</v>
      </c>
      <c r="AG49" s="150">
        <f ca="1">OFFSET(IND!AJ$25,$E49,0)</f>
        <v>3.6432550469798666</v>
      </c>
      <c r="AH49" s="150">
        <f ca="1">OFFSET(IND!AK$25,$E49,0)</f>
        <v>3.7296362684563764</v>
      </c>
      <c r="AI49" s="150">
        <f ca="1">OFFSET(IND!AL$25,$E49,0)</f>
        <v>3.8210987382550341</v>
      </c>
      <c r="AJ49" s="150">
        <f ca="1">OFFSET(IND!AM$25,$E49,0)</f>
        <v>4.1056486442953029</v>
      </c>
      <c r="AK49" s="150">
        <f ca="1">OFFSET(IND!AN$25,$E49,0)</f>
        <v>4.4816610201342293</v>
      </c>
      <c r="AL49" s="150">
        <f ca="1">OFFSET(IND!AO$25,$E49,0)</f>
        <v>5.1269795570469689</v>
      </c>
      <c r="AM49" s="150">
        <f ca="1">OFFSET(IND!AP$25,$E49,0)</f>
        <v>5.7875418389261695</v>
      </c>
      <c r="AQ49" s="4"/>
    </row>
    <row r="50" spans="1:43">
      <c r="A50" s="36" t="s">
        <v>351</v>
      </c>
      <c r="B50" t="s">
        <v>387</v>
      </c>
      <c r="E50" s="153">
        <f ca="1">MATCH(F50,IND!$D$26:$D$255,0)</f>
        <v>135</v>
      </c>
      <c r="F50" s="4" t="str">
        <f t="shared" si="0"/>
        <v>INFP</v>
      </c>
      <c r="G50" s="150">
        <f ca="1">OFFSET(IND!J$25,$E50,0)</f>
        <v>0</v>
      </c>
      <c r="H50" s="150">
        <f ca="1">OFFSET(IND!K$25,$E50,0)</f>
        <v>0</v>
      </c>
      <c r="I50" s="150">
        <f ca="1">OFFSET(IND!L$25,$E50,0)</f>
        <v>0</v>
      </c>
      <c r="J50" s="150">
        <f ca="1">OFFSET(IND!M$25,$E50,0)</f>
        <v>0</v>
      </c>
      <c r="K50" s="150">
        <f ca="1">OFFSET(IND!N$25,$E50,0)</f>
        <v>0</v>
      </c>
      <c r="L50" s="150">
        <f ca="1">OFFSET(IND!O$25,$E50,0)</f>
        <v>0</v>
      </c>
      <c r="M50" s="150">
        <f ca="1">OFFSET(IND!P$25,$E50,0)</f>
        <v>0</v>
      </c>
      <c r="N50" s="150">
        <f ca="1">OFFSET(IND!Q$25,$E50,0)</f>
        <v>0</v>
      </c>
      <c r="O50" s="243">
        <f ca="1">OFFSET(IND!R$25,$E50,0)</f>
        <v>0</v>
      </c>
      <c r="P50" s="150">
        <f ca="1">OFFSET(IND!S$25,$E50,0)</f>
        <v>0</v>
      </c>
      <c r="Q50" s="150">
        <f ca="1">OFFSET(IND!T$25,$E50,0)</f>
        <v>0</v>
      </c>
      <c r="R50" s="150">
        <f ca="1">OFFSET(IND!U$25,$E50,0)</f>
        <v>0</v>
      </c>
      <c r="S50" s="150">
        <f ca="1">OFFSET(IND!V$25,$E50,0)</f>
        <v>0</v>
      </c>
      <c r="T50" s="243">
        <f ca="1">OFFSET(IND!W$25,$E50,0)</f>
        <v>0</v>
      </c>
      <c r="U50" s="150">
        <f ca="1">OFFSET(IND!X$25,$E50,0)</f>
        <v>0</v>
      </c>
      <c r="V50" s="150">
        <f ca="1">OFFSET(IND!Y$25,$E50,0)</f>
        <v>0</v>
      </c>
      <c r="W50" s="150">
        <f ca="1">OFFSET(IND!Z$25,$E50,0)</f>
        <v>0</v>
      </c>
      <c r="X50" s="150">
        <f ca="1">OFFSET(IND!AA$25,$E50,0)</f>
        <v>0</v>
      </c>
      <c r="Y50" s="245">
        <f ca="1">OFFSET(IND!AB$25,$E50,0)</f>
        <v>0</v>
      </c>
      <c r="Z50" s="150">
        <f ca="1">OFFSET(IND!AC$25,$E50,0)</f>
        <v>0</v>
      </c>
      <c r="AA50" s="150">
        <f ca="1">OFFSET(IND!AD$25,$E50,0)</f>
        <v>0</v>
      </c>
      <c r="AB50" s="150">
        <f ca="1">OFFSET(IND!AE$25,$E50,0)</f>
        <v>0</v>
      </c>
      <c r="AC50" s="150">
        <f ca="1">OFFSET(IND!AF$25,$E50,0)</f>
        <v>0</v>
      </c>
      <c r="AD50" s="150">
        <f ca="1">OFFSET(IND!AG$25,$E50,0)</f>
        <v>0</v>
      </c>
      <c r="AE50" s="150">
        <f ca="1">OFFSET(IND!AH$25,$E50,0)</f>
        <v>0</v>
      </c>
      <c r="AF50" s="150">
        <f ca="1">OFFSET(IND!AI$25,$E50,0)</f>
        <v>0</v>
      </c>
      <c r="AG50" s="150">
        <f ca="1">OFFSET(IND!AJ$25,$E50,0)</f>
        <v>0</v>
      </c>
      <c r="AH50" s="150">
        <f ca="1">OFFSET(IND!AK$25,$E50,0)</f>
        <v>0</v>
      </c>
      <c r="AI50" s="150">
        <f ca="1">OFFSET(IND!AL$25,$E50,0)</f>
        <v>0</v>
      </c>
      <c r="AJ50" s="150">
        <f ca="1">OFFSET(IND!AM$25,$E50,0)</f>
        <v>0</v>
      </c>
      <c r="AK50" s="150">
        <f ca="1">OFFSET(IND!AN$25,$E50,0)</f>
        <v>0</v>
      </c>
      <c r="AL50" s="150">
        <f ca="1">OFFSET(IND!AO$25,$E50,0)</f>
        <v>0</v>
      </c>
      <c r="AM50" s="150">
        <f ca="1">OFFSET(IND!AP$25,$E50,0)</f>
        <v>0</v>
      </c>
      <c r="AQ50" s="4"/>
    </row>
    <row r="51" spans="1:43">
      <c r="A51" s="36" t="s">
        <v>352</v>
      </c>
      <c r="B51">
        <v>0.51839999999999997</v>
      </c>
      <c r="E51" s="153">
        <f ca="1">MATCH(F51,IND!$D$26:$D$255,0)</f>
        <v>140</v>
      </c>
      <c r="F51" s="4" t="str">
        <f t="shared" si="0"/>
        <v>INFS</v>
      </c>
      <c r="G51" s="150">
        <f ca="1">OFFSET(IND!J$25,$E51,0)</f>
        <v>2.487856608</v>
      </c>
      <c r="H51" s="150">
        <f ca="1">OFFSET(IND!K$25,$E51,0)</f>
        <v>2.0744442339703264</v>
      </c>
      <c r="I51" s="150">
        <f ca="1">OFFSET(IND!L$25,$E51,0)</f>
        <v>1.7865320449139466</v>
      </c>
      <c r="J51" s="150">
        <f ca="1">OFFSET(IND!M$25,$E51,0)</f>
        <v>0.65368000000000004</v>
      </c>
      <c r="K51" s="150">
        <f ca="1">OFFSET(IND!N$25,$E51,0)</f>
        <v>0.65368000000000004</v>
      </c>
      <c r="L51" s="150">
        <f ca="1">OFFSET(IND!O$25,$E51,0)</f>
        <v>0.65368000000000004</v>
      </c>
      <c r="M51" s="150">
        <f ca="1">OFFSET(IND!P$25,$E51,0)</f>
        <v>0.64051865771812089</v>
      </c>
      <c r="N51" s="150">
        <f ca="1">OFFSET(IND!Q$25,$E51,0)</f>
        <v>0.60542174496644308</v>
      </c>
      <c r="O51" s="243">
        <f ca="1">OFFSET(IND!R$25,$E51,0)</f>
        <v>0.49684067114093977</v>
      </c>
      <c r="P51" s="150">
        <f ca="1">OFFSET(IND!S$25,$E51,0)</f>
        <v>0.51438912751677868</v>
      </c>
      <c r="Q51" s="150">
        <f ca="1">OFFSET(IND!T$25,$E51,0)</f>
        <v>0.51658268456375844</v>
      </c>
      <c r="R51" s="150">
        <f ca="1">OFFSET(IND!U$25,$E51,0)</f>
        <v>0.5198730201342282</v>
      </c>
      <c r="S51" s="150">
        <f ca="1">OFFSET(IND!V$25,$E51,0)</f>
        <v>0.52316335570469785</v>
      </c>
      <c r="T51" s="243">
        <f ca="1">OFFSET(IND!W$25,$E51,0)</f>
        <v>0.53084080536912748</v>
      </c>
      <c r="U51" s="150">
        <f ca="1">OFFSET(IND!X$25,$E51,0)</f>
        <v>0.54948604026845638</v>
      </c>
      <c r="V51" s="150">
        <f ca="1">OFFSET(IND!Y$25,$E51,0)</f>
        <v>0.57142161073825504</v>
      </c>
      <c r="W51" s="150">
        <f ca="1">OFFSET(IND!Z$25,$E51,0)</f>
        <v>0.59774429530201345</v>
      </c>
      <c r="X51" s="150">
        <f ca="1">OFFSET(IND!AA$25,$E51,0)</f>
        <v>0.61858308724832212</v>
      </c>
      <c r="Y51" s="245">
        <f ca="1">OFFSET(IND!AB$25,$E51,0)</f>
        <v>0.64490577181208053</v>
      </c>
      <c r="Z51" s="150">
        <f ca="1">OFFSET(IND!AC$25,$E51,0)</f>
        <v>0.66684134228187919</v>
      </c>
      <c r="AA51" s="150">
        <f ca="1">OFFSET(IND!AD$25,$E51,0)</f>
        <v>0.68109946308724822</v>
      </c>
      <c r="AB51" s="150">
        <f ca="1">OFFSET(IND!AE$25,$E51,0)</f>
        <v>0.69755114093959725</v>
      </c>
      <c r="AC51" s="150">
        <f ca="1">OFFSET(IND!AF$25,$E51,0)</f>
        <v>0.71509959731543604</v>
      </c>
      <c r="AD51" s="150">
        <f ca="1">OFFSET(IND!AG$25,$E51,0)</f>
        <v>0.73045449664429518</v>
      </c>
      <c r="AE51" s="150">
        <f ca="1">OFFSET(IND!AH$25,$E51,0)</f>
        <v>0.74909973154362408</v>
      </c>
      <c r="AF51" s="150">
        <f ca="1">OFFSET(IND!AI$25,$E51,0)</f>
        <v>0.76774496644295287</v>
      </c>
      <c r="AG51" s="150">
        <f ca="1">OFFSET(IND!AJ$25,$E51,0)</f>
        <v>0.78639020134228166</v>
      </c>
      <c r="AH51" s="150">
        <f ca="1">OFFSET(IND!AK$25,$E51,0)</f>
        <v>0.80503543624161045</v>
      </c>
      <c r="AI51" s="150">
        <f ca="1">OFFSET(IND!AL$25,$E51,0)</f>
        <v>0.82477744966442923</v>
      </c>
      <c r="AJ51" s="150">
        <f ca="1">OFFSET(IND!AM$25,$E51,0)</f>
        <v>0.88619704697986545</v>
      </c>
      <c r="AK51" s="150">
        <f ca="1">OFFSET(IND!AN$25,$E51,0)</f>
        <v>0.96735865771812057</v>
      </c>
      <c r="AL51" s="150">
        <f ca="1">OFFSET(IND!AO$25,$E51,0)</f>
        <v>1.1066495302013393</v>
      </c>
      <c r="AM51" s="150">
        <f ca="1">OFFSET(IND!AP$25,$E51,0)</f>
        <v>1.2492307382550316</v>
      </c>
      <c r="AQ51" s="4"/>
    </row>
    <row r="52" spans="1:43">
      <c r="A52" s="36" t="s">
        <v>353</v>
      </c>
      <c r="B52">
        <v>0.24189876324029999</v>
      </c>
      <c r="E52" s="153">
        <f ca="1">MATCH(F52,IND!$D$26:$D$255,0)</f>
        <v>209</v>
      </c>
      <c r="F52" s="4" t="str">
        <f t="shared" si="0"/>
        <v>IOTA</v>
      </c>
      <c r="G52" s="150">
        <f ca="1">OFFSET(IND!J$25,$E52,0)</f>
        <v>0.22789646617646991</v>
      </c>
      <c r="H52" s="150">
        <f ca="1">OFFSET(IND!K$25,$E52,0)</f>
        <v>0.23382854828968336</v>
      </c>
      <c r="I52" s="150">
        <f ca="1">OFFSET(IND!L$25,$E52,0)</f>
        <v>0.23771875548301416</v>
      </c>
      <c r="J52" s="150">
        <f ca="1">OFFSET(IND!M$25,$E52,0)</f>
        <v>0.12355272</v>
      </c>
      <c r="K52" s="150">
        <f ca="1">OFFSET(IND!N$25,$E52,0)</f>
        <v>0.12355272</v>
      </c>
      <c r="L52" s="150">
        <f ca="1">OFFSET(IND!O$25,$E52,0)</f>
        <v>0.12355272</v>
      </c>
      <c r="M52" s="150">
        <f ca="1">OFFSET(IND!P$25,$E52,0)</f>
        <v>0.12462904843905918</v>
      </c>
      <c r="N52" s="150">
        <f ca="1">OFFSET(IND!Q$25,$E52,0)</f>
        <v>0.12459480162508911</v>
      </c>
      <c r="O52" s="243">
        <f ca="1">OFFSET(IND!R$25,$E52,0)</f>
        <v>0.11264266354953673</v>
      </c>
      <c r="P52" s="150">
        <f ca="1">OFFSET(IND!S$25,$E52,0)</f>
        <v>0.11579826283677834</v>
      </c>
      <c r="Q52" s="150">
        <f ca="1">OFFSET(IND!T$25,$E52,0)</f>
        <v>0.11868478001425517</v>
      </c>
      <c r="R52" s="150">
        <f ca="1">OFFSET(IND!U$25,$E52,0)</f>
        <v>0.12149301875980044</v>
      </c>
      <c r="S52" s="150">
        <f ca="1">OFFSET(IND!V$25,$E52,0)</f>
        <v>0.12418383985744835</v>
      </c>
      <c r="T52" s="243">
        <f ca="1">OFFSET(IND!W$25,$E52,0)</f>
        <v>0.12701164821097652</v>
      </c>
      <c r="U52" s="150">
        <f ca="1">OFFSET(IND!X$25,$E52,0)</f>
        <v>0.13058799406985036</v>
      </c>
      <c r="V52" s="150">
        <f ca="1">OFFSET(IND!Y$25,$E52,0)</f>
        <v>0.13411541590876697</v>
      </c>
      <c r="W52" s="150">
        <f ca="1">OFFSET(IND!Z$25,$E52,0)</f>
        <v>0.13778471740555956</v>
      </c>
      <c r="X52" s="150">
        <f ca="1">OFFSET(IND!AA$25,$E52,0)</f>
        <v>0.14150294292230939</v>
      </c>
      <c r="Y52" s="245">
        <f ca="1">OFFSET(IND!AB$25,$E52,0)</f>
        <v>0.14531412407697794</v>
      </c>
      <c r="Z52" s="150">
        <f ca="1">OFFSET(IND!AC$25,$E52,0)</f>
        <v>0.14953137459729157</v>
      </c>
      <c r="AA52" s="150">
        <f ca="1">OFFSET(IND!AD$25,$E52,0)</f>
        <v>0.15357739104775489</v>
      </c>
      <c r="AB52" s="150">
        <f ca="1">OFFSET(IND!AE$25,$E52,0)</f>
        <v>0.15805393887384184</v>
      </c>
      <c r="AC52" s="150">
        <f ca="1">OFFSET(IND!AF$25,$E52,0)</f>
        <v>0.16285338523164652</v>
      </c>
      <c r="AD52" s="150">
        <f ca="1">OFFSET(IND!AG$25,$E52,0)</f>
        <v>0.16794148330719891</v>
      </c>
      <c r="AE52" s="150">
        <f ca="1">OFFSET(IND!AH$25,$E52,0)</f>
        <v>0.1732350622665717</v>
      </c>
      <c r="AF52" s="150">
        <f ca="1">OFFSET(IND!AI$25,$E52,0)</f>
        <v>0.1787194449037777</v>
      </c>
      <c r="AG52" s="150">
        <f ca="1">OFFSET(IND!AJ$25,$E52,0)</f>
        <v>0.18425764396293662</v>
      </c>
      <c r="AH52" s="150">
        <f ca="1">OFFSET(IND!AK$25,$E52,0)</f>
        <v>0.19000132390591598</v>
      </c>
      <c r="AI52" s="150">
        <f ca="1">OFFSET(IND!AL$25,$E52,0)</f>
        <v>0.19608257958660025</v>
      </c>
      <c r="AJ52" s="150">
        <f ca="1">OFFSET(IND!AM$25,$E52,0)</f>
        <v>0.22981569134711344</v>
      </c>
      <c r="AK52" s="150">
        <f ca="1">OFFSET(IND!AN$25,$E52,0)</f>
        <v>0.27236980390591603</v>
      </c>
      <c r="AL52" s="150">
        <f ca="1">OFFSET(IND!AO$25,$E52,0)</f>
        <v>0.34718686142551713</v>
      </c>
      <c r="AM52" s="150">
        <f ca="1">OFFSET(IND!AP$25,$E52,0)</f>
        <v>0.42347408574483131</v>
      </c>
      <c r="AQ52" s="4"/>
    </row>
    <row r="53" spans="1:43">
      <c r="A53" s="36" t="s">
        <v>354</v>
      </c>
      <c r="B53">
        <v>4.5502640185010002</v>
      </c>
      <c r="E53" s="153">
        <f ca="1">MATCH(F53,IND!$D$26:$D$255,0)</f>
        <v>211</v>
      </c>
      <c r="F53" s="4" t="str">
        <f t="shared" si="0"/>
        <v>IOTC</v>
      </c>
      <c r="G53" s="150">
        <f ca="1">OFFSET(IND!J$25,$E53,0)</f>
        <v>4.2868722274366169</v>
      </c>
      <c r="H53" s="150">
        <f ca="1">OFFSET(IND!K$25,$E53,0)</f>
        <v>4.3984583283036507</v>
      </c>
      <c r="I53" s="150">
        <f ca="1">OFFSET(IND!L$25,$E53,0)</f>
        <v>4.4716355102751804</v>
      </c>
      <c r="J53" s="150">
        <f ca="1">OFFSET(IND!M$25,$E53,0)</f>
        <v>2.3241024000000006</v>
      </c>
      <c r="K53" s="150">
        <f ca="1">OFFSET(IND!N$25,$E53,0)</f>
        <v>2.3241024000000006</v>
      </c>
      <c r="L53" s="150">
        <f ca="1">OFFSET(IND!O$25,$E53,0)</f>
        <v>2.3241024000000006</v>
      </c>
      <c r="M53" s="150">
        <f ca="1">OFFSET(IND!P$25,$E53,0)</f>
        <v>2.3443487977191744</v>
      </c>
      <c r="N53" s="150">
        <f ca="1">OFFSET(IND!Q$25,$E53,0)</f>
        <v>2.3437045941553825</v>
      </c>
      <c r="O53" s="243">
        <f ca="1">OFFSET(IND!R$25,$E53,0)</f>
        <v>2.1188775503920181</v>
      </c>
      <c r="P53" s="150">
        <f ca="1">OFFSET(IND!S$25,$E53,0)</f>
        <v>2.1782363073414119</v>
      </c>
      <c r="Q53" s="150">
        <f ca="1">OFFSET(IND!T$25,$E53,0)</f>
        <v>2.2325334648610125</v>
      </c>
      <c r="R53" s="150">
        <f ca="1">OFFSET(IND!U$25,$E53,0)</f>
        <v>2.2853581570919466</v>
      </c>
      <c r="S53" s="150">
        <f ca="1">OFFSET(IND!V$25,$E53,0)</f>
        <v>2.33597415138988</v>
      </c>
      <c r="T53" s="243">
        <f ca="1">OFFSET(IND!W$25,$E53,0)</f>
        <v>2.3891669599429806</v>
      </c>
      <c r="U53" s="150">
        <f ca="1">OFFSET(IND!X$25,$E53,0)</f>
        <v>2.4564402178189604</v>
      </c>
      <c r="V53" s="150">
        <f ca="1">OFFSET(IND!Y$25,$E53,0)</f>
        <v>2.5227931848895233</v>
      </c>
      <c r="W53" s="150">
        <f ca="1">OFFSET(IND!Z$25,$E53,0)</f>
        <v>2.5918149952957958</v>
      </c>
      <c r="X53" s="150">
        <f ca="1">OFFSET(IND!AA$25,$E53,0)</f>
        <v>2.6617570965074853</v>
      </c>
      <c r="Y53" s="245">
        <f ca="1">OFFSET(IND!AB$25,$E53,0)</f>
        <v>2.7334477502494665</v>
      </c>
      <c r="Z53" s="150">
        <f ca="1">OFFSET(IND!AC$25,$E53,0)</f>
        <v>2.8127768176764087</v>
      </c>
      <c r="AA53" s="150">
        <f ca="1">OFFSET(IND!AD$25,$E53,0)</f>
        <v>2.8888848672843919</v>
      </c>
      <c r="AB53" s="150">
        <f ca="1">OFFSET(IND!AE$25,$E53,0)</f>
        <v>2.973091475980044</v>
      </c>
      <c r="AC53" s="150">
        <f ca="1">OFFSET(IND!AF$25,$E53,0)</f>
        <v>3.0633720039914478</v>
      </c>
      <c r="AD53" s="150">
        <f ca="1">OFFSET(IND!AG$25,$E53,0)</f>
        <v>3.1590822477548119</v>
      </c>
      <c r="AE53" s="150">
        <f ca="1">OFFSET(IND!AH$25,$E53,0)</f>
        <v>3.2586577129009275</v>
      </c>
      <c r="AF53" s="150">
        <f ca="1">OFFSET(IND!AI$25,$E53,0)</f>
        <v>3.3618223121881696</v>
      </c>
      <c r="AG53" s="150">
        <f ca="1">OFFSET(IND!AJ$25,$E53,0)</f>
        <v>3.4659992313613697</v>
      </c>
      <c r="AH53" s="150">
        <f ca="1">OFFSET(IND!AK$25,$E53,0)</f>
        <v>3.5740413719173216</v>
      </c>
      <c r="AI53" s="150">
        <f ca="1">OFFSET(IND!AL$25,$E53,0)</f>
        <v>3.6884335190306508</v>
      </c>
      <c r="AJ53" s="150">
        <f ca="1">OFFSET(IND!AM$25,$E53,0)</f>
        <v>4.3229740293656471</v>
      </c>
      <c r="AK53" s="150">
        <f ca="1">OFFSET(IND!AN$25,$E53,0)</f>
        <v>5.1234429719173225</v>
      </c>
      <c r="AL53" s="150">
        <f ca="1">OFFSET(IND!AO$25,$E53,0)</f>
        <v>6.5307976861012191</v>
      </c>
      <c r="AM53" s="150">
        <f ca="1">OFFSET(IND!AP$25,$E53,0)</f>
        <v>7.9658071389878602</v>
      </c>
      <c r="AQ53" s="4"/>
    </row>
    <row r="54" spans="1:43">
      <c r="A54" s="36" t="s">
        <v>355</v>
      </c>
      <c r="B54">
        <v>0.43799389606880001</v>
      </c>
      <c r="E54" s="153">
        <f ca="1">MATCH(F54,IND!$D$26:$D$255,0)</f>
        <v>216</v>
      </c>
      <c r="F54" s="4" t="str">
        <f t="shared" si="0"/>
        <v>IOTE</v>
      </c>
      <c r="G54" s="150">
        <f ca="1">OFFSET(IND!J$25,$E54,0)</f>
        <v>0.41264064265496897</v>
      </c>
      <c r="H54" s="150">
        <f ca="1">OFFSET(IND!K$25,$E54,0)</f>
        <v>0.42338156469095606</v>
      </c>
      <c r="I54" s="150">
        <f ca="1">OFFSET(IND!L$25,$E54,0)</f>
        <v>0.43042536674391985</v>
      </c>
      <c r="J54" s="150">
        <f ca="1">OFFSET(IND!M$25,$E54,0)</f>
        <v>0.22371068160000002</v>
      </c>
      <c r="K54" s="150">
        <f ca="1">OFFSET(IND!N$25,$E54,0)</f>
        <v>0.22371068160000002</v>
      </c>
      <c r="L54" s="150">
        <f ca="1">OFFSET(IND!O$25,$E54,0)</f>
        <v>0.22371068160000002</v>
      </c>
      <c r="M54" s="150">
        <f ca="1">OFFSET(IND!P$25,$E54,0)</f>
        <v>0.22565953524504639</v>
      </c>
      <c r="N54" s="150">
        <f ca="1">OFFSET(IND!Q$25,$E54,0)</f>
        <v>0.22559752626543128</v>
      </c>
      <c r="O54" s="243">
        <f ca="1">OFFSET(IND!R$25,$E54,0)</f>
        <v>0.20395639237975771</v>
      </c>
      <c r="P54" s="150">
        <f ca="1">OFFSET(IND!S$25,$E54,0)</f>
        <v>0.20967007693000717</v>
      </c>
      <c r="Q54" s="150">
        <f ca="1">OFFSET(IND!T$25,$E54,0)</f>
        <v>0.21489654806899502</v>
      </c>
      <c r="R54" s="150">
        <f ca="1">OFFSET(IND!U$25,$E54,0)</f>
        <v>0.21998128439743411</v>
      </c>
      <c r="S54" s="150">
        <f ca="1">OFFSET(IND!V$25,$E54,0)</f>
        <v>0.22485341851004997</v>
      </c>
      <c r="T54" s="243">
        <f ca="1">OFFSET(IND!W$25,$E54,0)</f>
        <v>0.22997358854112623</v>
      </c>
      <c r="U54" s="150">
        <f ca="1">OFFSET(IND!X$25,$E54,0)</f>
        <v>0.23644909769807562</v>
      </c>
      <c r="V54" s="150">
        <f ca="1">OFFSET(IND!Y$25,$E54,0)</f>
        <v>0.24283602259843198</v>
      </c>
      <c r="W54" s="150">
        <f ca="1">OFFSET(IND!Z$25,$E54,0)</f>
        <v>0.24947984184290814</v>
      </c>
      <c r="X54" s="150">
        <f ca="1">OFFSET(IND!AA$25,$E54,0)</f>
        <v>0.2562122453439773</v>
      </c>
      <c r="Y54" s="245">
        <f ca="1">OFFSET(IND!AB$25,$E54,0)</f>
        <v>0.26311295893257314</v>
      </c>
      <c r="Z54" s="150">
        <f ca="1">OFFSET(IND!AC$25,$E54,0)</f>
        <v>0.27074892185089106</v>
      </c>
      <c r="AA54" s="150">
        <f ca="1">OFFSET(IND!AD$25,$E54,0)</f>
        <v>0.27807483987113346</v>
      </c>
      <c r="AB54" s="150">
        <f ca="1">OFFSET(IND!AE$25,$E54,0)</f>
        <v>0.28618029934939432</v>
      </c>
      <c r="AC54" s="150">
        <f ca="1">OFFSET(IND!AF$25,$E54,0)</f>
        <v>0.29487041492116906</v>
      </c>
      <c r="AD54" s="150">
        <f ca="1">OFFSET(IND!AG$25,$E54,0)</f>
        <v>0.30408317760684261</v>
      </c>
      <c r="AE54" s="150">
        <f ca="1">OFFSET(IND!AH$25,$E54,0)</f>
        <v>0.31366799417020685</v>
      </c>
      <c r="AF54" s="150">
        <f ca="1">OFFSET(IND!AI$25,$E54,0)</f>
        <v>0.32359828933428386</v>
      </c>
      <c r="AG54" s="150">
        <f ca="1">OFFSET(IND!AJ$25,$E54,0)</f>
        <v>0.33362602718061313</v>
      </c>
      <c r="AH54" s="150">
        <f ca="1">OFFSET(IND!AK$25,$E54,0)</f>
        <v>0.34402581890463313</v>
      </c>
      <c r="AI54" s="150">
        <f ca="1">OFFSET(IND!AL$25,$E54,0)</f>
        <v>0.35503684199914493</v>
      </c>
      <c r="AJ54" s="150">
        <f ca="1">OFFSET(IND!AM$25,$E54,0)</f>
        <v>0.41611568692002876</v>
      </c>
      <c r="AK54" s="150">
        <f ca="1">OFFSET(IND!AN$25,$E54,0)</f>
        <v>0.49316627330463325</v>
      </c>
      <c r="AL54" s="150">
        <f ca="1">OFFSET(IND!AO$25,$E54,0)</f>
        <v>0.62863374769950187</v>
      </c>
      <c r="AM54" s="150">
        <f ca="1">OFFSET(IND!AP$25,$E54,0)</f>
        <v>0.76676317900498725</v>
      </c>
      <c r="AQ54" s="4"/>
    </row>
    <row r="55" spans="1:43">
      <c r="A55" s="36" t="s">
        <v>356</v>
      </c>
      <c r="B55">
        <v>1.959977536374</v>
      </c>
      <c r="E55" s="153">
        <f ca="1">MATCH(F55,IND!$D$26:$D$255,0)</f>
        <v>214</v>
      </c>
      <c r="F55" s="4" t="str">
        <f t="shared" si="0"/>
        <v>IOTF</v>
      </c>
      <c r="G55" s="150">
        <f ca="1">OFFSET(IND!J$25,$E55,0)</f>
        <v>1.8465243407674456</v>
      </c>
      <c r="H55" s="150">
        <f ca="1">OFFSET(IND!K$25,$E55,0)</f>
        <v>1.8945888597012226</v>
      </c>
      <c r="I55" s="150">
        <f ca="1">OFFSET(IND!L$25,$E55,0)</f>
        <v>1.9261091478111381</v>
      </c>
      <c r="J55" s="150">
        <f ca="1">OFFSET(IND!M$25,$E55,0)</f>
        <v>1.0010822400000001</v>
      </c>
      <c r="K55" s="150">
        <f ca="1">OFFSET(IND!N$25,$E55,0)</f>
        <v>1.0010822400000001</v>
      </c>
      <c r="L55" s="150">
        <f ca="1">OFFSET(IND!O$25,$E55,0)</f>
        <v>1.0010822400000001</v>
      </c>
      <c r="M55" s="150">
        <f ca="1">OFFSET(IND!P$25,$E55,0)</f>
        <v>1.0098031591732006</v>
      </c>
      <c r="N55" s="150">
        <f ca="1">OFFSET(IND!Q$25,$E55,0)</f>
        <v>1.009525675381326</v>
      </c>
      <c r="O55" s="243">
        <f ca="1">OFFSET(IND!R$25,$E55,0)</f>
        <v>0.91268383201710646</v>
      </c>
      <c r="P55" s="150">
        <f ca="1">OFFSET(IND!S$25,$E55,0)</f>
        <v>0.93825198141126176</v>
      </c>
      <c r="Q55" s="150">
        <f ca="1">OFFSET(IND!T$25,$E55,0)</f>
        <v>0.96163990101211705</v>
      </c>
      <c r="R55" s="150">
        <f ca="1">OFFSET(IND!U$25,$E55,0)</f>
        <v>0.98439357194583066</v>
      </c>
      <c r="S55" s="150">
        <f ca="1">OFFSET(IND!V$25,$E55,0)</f>
        <v>1.0061958698788316</v>
      </c>
      <c r="T55" s="243">
        <f ca="1">OFFSET(IND!W$25,$E55,0)</f>
        <v>1.0291081029793305</v>
      </c>
      <c r="U55" s="150">
        <f ca="1">OFFSET(IND!X$25,$E55,0)</f>
        <v>1.0580853389593732</v>
      </c>
      <c r="V55" s="150">
        <f ca="1">OFFSET(IND!Y$25,$E55,0)</f>
        <v>1.0866661695224522</v>
      </c>
      <c r="W55" s="150">
        <f ca="1">OFFSET(IND!Z$25,$E55,0)</f>
        <v>1.1163965757947261</v>
      </c>
      <c r="X55" s="150">
        <f ca="1">OFFSET(IND!AA$25,$E55,0)</f>
        <v>1.1465233874839633</v>
      </c>
      <c r="Y55" s="245">
        <f ca="1">OFFSET(IND!AB$25,$E55,0)</f>
        <v>1.1774033694654316</v>
      </c>
      <c r="Z55" s="150">
        <f ca="1">OFFSET(IND!AC$25,$E55,0)</f>
        <v>1.2115735164076982</v>
      </c>
      <c r="AA55" s="150">
        <f ca="1">OFFSET(IND!AD$25,$E55,0)</f>
        <v>1.2443562443905922</v>
      </c>
      <c r="AB55" s="150">
        <f ca="1">OFFSET(IND!AE$25,$E55,0)</f>
        <v>1.2806273400427661</v>
      </c>
      <c r="AC55" s="150">
        <f ca="1">OFFSET(IND!AF$25,$E55,0)</f>
        <v>1.3195147114469001</v>
      </c>
      <c r="AD55" s="150">
        <f ca="1">OFFSET(IND!AG$25,$E55,0)</f>
        <v>1.3607408748111196</v>
      </c>
      <c r="AE55" s="150">
        <f ca="1">OFFSET(IND!AH$25,$E55,0)</f>
        <v>1.4036319409265865</v>
      </c>
      <c r="AF55" s="150">
        <f ca="1">OFFSET(IND!AI$25,$E55,0)</f>
        <v>1.4480689881682116</v>
      </c>
      <c r="AG55" s="150">
        <f ca="1">OFFSET(IND!AJ$25,$E55,0)</f>
        <v>1.4929420813684966</v>
      </c>
      <c r="AH55" s="150">
        <f ca="1">OFFSET(IND!AK$25,$E55,0)</f>
        <v>1.5394800773200292</v>
      </c>
      <c r="AI55" s="150">
        <f ca="1">OFFSET(IND!AL$25,$E55,0)</f>
        <v>1.5887532706486109</v>
      </c>
      <c r="AJ55" s="150">
        <f ca="1">OFFSET(IND!AM$25,$E55,0)</f>
        <v>1.8620748056450473</v>
      </c>
      <c r="AK55" s="150">
        <f ca="1">OFFSET(IND!AN$25,$E55,0)</f>
        <v>2.2068682373200299</v>
      </c>
      <c r="AL55" s="150">
        <f ca="1">OFFSET(IND!AO$25,$E55,0)</f>
        <v>2.8130712212116928</v>
      </c>
      <c r="AM55" s="150">
        <f ca="1">OFFSET(IND!AP$25,$E55,0)</f>
        <v>3.4311861878830983</v>
      </c>
      <c r="AQ55" s="4"/>
    </row>
    <row r="56" spans="1:43">
      <c r="A56" s="36" t="s">
        <v>357</v>
      </c>
      <c r="B56">
        <v>3.382156358499</v>
      </c>
      <c r="E56" s="153">
        <f ca="1">MATCH(F56,IND!$D$26:$D$255,0)</f>
        <v>212</v>
      </c>
      <c r="F56" s="4" t="str">
        <f t="shared" si="0"/>
        <v>IOTH</v>
      </c>
      <c r="G56" s="150">
        <f ca="1">OFFSET(IND!J$25,$E56,0)</f>
        <v>3.1863804172999206</v>
      </c>
      <c r="H56" s="150">
        <f ca="1">OFFSET(IND!K$25,$E56,0)</f>
        <v>3.269321020094182</v>
      </c>
      <c r="I56" s="150">
        <f ca="1">OFFSET(IND!L$25,$E56,0)</f>
        <v>3.3237127367716583</v>
      </c>
      <c r="J56" s="150">
        <f ca="1">OFFSET(IND!M$25,$E56,0)</f>
        <v>1.7274772800000002</v>
      </c>
      <c r="K56" s="150">
        <f ca="1">OFFSET(IND!N$25,$E56,0)</f>
        <v>1.7274772800000002</v>
      </c>
      <c r="L56" s="150">
        <f ca="1">OFFSET(IND!O$25,$E56,0)</f>
        <v>1.7274772800000002</v>
      </c>
      <c r="M56" s="150">
        <f ca="1">OFFSET(IND!P$25,$E56,0)</f>
        <v>1.7425261832074133</v>
      </c>
      <c r="N56" s="150">
        <f ca="1">OFFSET(IND!Q$25,$E56,0)</f>
        <v>1.7420473544689956</v>
      </c>
      <c r="O56" s="243">
        <f ca="1">OFFSET(IND!R$25,$E56,0)</f>
        <v>1.5749361247612266</v>
      </c>
      <c r="P56" s="150">
        <f ca="1">OFFSET(IND!S$25,$E56,0)</f>
        <v>1.6190567728011409</v>
      </c>
      <c r="Q56" s="150">
        <f ca="1">OFFSET(IND!T$25,$E56,0)</f>
        <v>1.6594151950392022</v>
      </c>
      <c r="R56" s="150">
        <f ca="1">OFFSET(IND!U$25,$E56,0)</f>
        <v>1.6986791515894519</v>
      </c>
      <c r="S56" s="150">
        <f ca="1">OFFSET(IND!V$25,$E56,0)</f>
        <v>1.7363014096079838</v>
      </c>
      <c r="T56" s="243">
        <f ca="1">OFFSET(IND!W$25,$E56,0)</f>
        <v>1.7758389825801864</v>
      </c>
      <c r="U56" s="150">
        <f ca="1">OFFSET(IND!X$25,$E56,0)</f>
        <v>1.8258423836920894</v>
      </c>
      <c r="V56" s="150">
        <f ca="1">OFFSET(IND!Y$25,$E56,0)</f>
        <v>1.8751617437491099</v>
      </c>
      <c r="W56" s="150">
        <f ca="1">OFFSET(IND!Z$25,$E56,0)</f>
        <v>1.9264648228652896</v>
      </c>
      <c r="X56" s="150">
        <f ca="1">OFFSET(IND!AA$25,$E56,0)</f>
        <v>1.9784519430363516</v>
      </c>
      <c r="Y56" s="245">
        <f ca="1">OFFSET(IND!AB$25,$E56,0)</f>
        <v>2.0317387412116901</v>
      </c>
      <c r="Z56" s="150">
        <f ca="1">OFFSET(IND!AC$25,$E56,0)</f>
        <v>2.0907030801425526</v>
      </c>
      <c r="AA56" s="150">
        <f ca="1">OFFSET(IND!AD$25,$E56,0)</f>
        <v>2.1472732753813268</v>
      </c>
      <c r="AB56" s="150">
        <f ca="1">OFFSET(IND!AE$25,$E56,0)</f>
        <v>2.2098630319030659</v>
      </c>
      <c r="AC56" s="150">
        <f ca="1">OFFSET(IND!AF$25,$E56,0)</f>
        <v>2.2769674593870288</v>
      </c>
      <c r="AD56" s="150">
        <f ca="1">OFFSET(IND!AG$25,$E56,0)</f>
        <v>2.348107729094798</v>
      </c>
      <c r="AE56" s="150">
        <f ca="1">OFFSET(IND!AH$25,$E56,0)</f>
        <v>2.4221209712330736</v>
      </c>
      <c r="AF56" s="150">
        <f ca="1">OFFSET(IND!AI$25,$E56,0)</f>
        <v>2.4988019734853903</v>
      </c>
      <c r="AG56" s="150">
        <f ca="1">OFFSET(IND!AJ$25,$E56,0)</f>
        <v>2.5762354208980773</v>
      </c>
      <c r="AH56" s="150">
        <f ca="1">OFFSET(IND!AK$25,$E56,0)</f>
        <v>2.6565418407412706</v>
      </c>
      <c r="AI56" s="150">
        <f ca="1">OFFSET(IND!AL$25,$E56,0)</f>
        <v>2.7415681438631525</v>
      </c>
      <c r="AJ56" s="150">
        <f ca="1">OFFSET(IND!AM$25,$E56,0)</f>
        <v>3.2132144512045642</v>
      </c>
      <c r="AK56" s="150">
        <f ca="1">OFFSET(IND!AN$25,$E56,0)</f>
        <v>3.8081933607412717</v>
      </c>
      <c r="AL56" s="150">
        <f ca="1">OFFSET(IND!AO$25,$E56,0)</f>
        <v>4.8542631439201775</v>
      </c>
      <c r="AM56" s="150">
        <f ca="1">OFFSET(IND!AP$25,$E56,0)</f>
        <v>5.9208883607982736</v>
      </c>
      <c r="AQ56" s="4"/>
    </row>
    <row r="57" spans="1:43">
      <c r="A57" s="36" t="s">
        <v>358</v>
      </c>
      <c r="B57">
        <v>4.2714054259280001</v>
      </c>
      <c r="E57" s="153">
        <f ca="1">MATCH(F57,IND!$D$26:$D$255,0)</f>
        <v>208</v>
      </c>
      <c r="F57" s="4" t="str">
        <f t="shared" si="0"/>
        <v>IOTK</v>
      </c>
      <c r="G57" s="150">
        <f ca="1">OFFSET(IND!J$25,$E57,0)</f>
        <v>4.0241553496851505</v>
      </c>
      <c r="H57" s="150">
        <f ca="1">OFFSET(IND!K$25,$E57,0)</f>
        <v>4.1289030027364033</v>
      </c>
      <c r="I57" s="150">
        <f ca="1">OFFSET(IND!L$25,$E57,0)</f>
        <v>4.1975955908711562</v>
      </c>
      <c r="J57" s="150">
        <f ca="1">OFFSET(IND!M$25,$E57,0)</f>
        <v>2.1816720000000003</v>
      </c>
      <c r="K57" s="150">
        <f ca="1">OFFSET(IND!N$25,$E57,0)</f>
        <v>2.1816720000000003</v>
      </c>
      <c r="L57" s="150">
        <f ca="1">OFFSET(IND!O$25,$E57,0)</f>
        <v>2.1816720000000003</v>
      </c>
      <c r="M57" s="150">
        <f ca="1">OFFSET(IND!P$25,$E57,0)</f>
        <v>2.2006776165359949</v>
      </c>
      <c r="N57" s="150">
        <f ca="1">OFFSET(IND!Q$25,$E57,0)</f>
        <v>2.2000728923734858</v>
      </c>
      <c r="O57" s="243">
        <f ca="1">OFFSET(IND!R$25,$E57,0)</f>
        <v>1.9890241596578764</v>
      </c>
      <c r="P57" s="150">
        <f ca="1">OFFSET(IND!S$25,$E57,0)</f>
        <v>2.0447451717747684</v>
      </c>
      <c r="Q57" s="150">
        <f ca="1">OFFSET(IND!T$25,$E57,0)</f>
        <v>2.0957147797576621</v>
      </c>
      <c r="R57" s="150">
        <f ca="1">OFFSET(IND!U$25,$E57,0)</f>
        <v>2.1453021610833929</v>
      </c>
      <c r="S57" s="150">
        <f ca="1">OFFSET(IND!V$25,$E57,0)</f>
        <v>2.192816202423379</v>
      </c>
      <c r="T57" s="243">
        <f ca="1">OFFSET(IND!W$25,$E57,0)</f>
        <v>2.2427491404134003</v>
      </c>
      <c r="U57" s="150">
        <f ca="1">OFFSET(IND!X$25,$E57,0)</f>
        <v>2.3058996208125451</v>
      </c>
      <c r="V57" s="150">
        <f ca="1">OFFSET(IND!Y$25,$E57,0)</f>
        <v>2.3681862095509625</v>
      </c>
      <c r="W57" s="150">
        <f ca="1">OFFSET(IND!Z$25,$E57,0)</f>
        <v>2.4329780841054887</v>
      </c>
      <c r="X57" s="150">
        <f ca="1">OFFSET(IND!AA$25,$E57,0)</f>
        <v>2.4986338503207417</v>
      </c>
      <c r="Y57" s="245">
        <f ca="1">OFFSET(IND!AB$25,$E57,0)</f>
        <v>2.5659310106913757</v>
      </c>
      <c r="Z57" s="150">
        <f ca="1">OFFSET(IND!AC$25,$E57,0)</f>
        <v>2.6403984718460443</v>
      </c>
      <c r="AA57" s="150">
        <f ca="1">OFFSET(IND!AD$25,$E57,0)</f>
        <v>2.7118423121881685</v>
      </c>
      <c r="AB57" s="150">
        <f ca="1">OFFSET(IND!AE$25,$E57,0)</f>
        <v>2.79088839914469</v>
      </c>
      <c r="AC57" s="150">
        <f ca="1">OFFSET(IND!AF$25,$E57,0)</f>
        <v>2.87563617106201</v>
      </c>
      <c r="AD57" s="150">
        <f ca="1">OFFSET(IND!AG$25,$E57,0)</f>
        <v>2.9654809037776193</v>
      </c>
      <c r="AE57" s="150">
        <f ca="1">OFFSET(IND!AH$25,$E57,0)</f>
        <v>3.0589539814682825</v>
      </c>
      <c r="AF57" s="150">
        <f ca="1">OFFSET(IND!AI$25,$E57,0)</f>
        <v>3.1557962366357808</v>
      </c>
      <c r="AG57" s="150">
        <f ca="1">OFFSET(IND!AJ$25,$E57,0)</f>
        <v>3.2535887726300783</v>
      </c>
      <c r="AH57" s="150">
        <f ca="1">OFFSET(IND!AK$25,$E57,0)</f>
        <v>3.35500965359943</v>
      </c>
      <c r="AI57" s="150">
        <f ca="1">OFFSET(IND!AL$25,$E57,0)</f>
        <v>3.462391387027798</v>
      </c>
      <c r="AJ57" s="150">
        <f ca="1">OFFSET(IND!AM$25,$E57,0)</f>
        <v>4.0580446870990743</v>
      </c>
      <c r="AK57" s="150">
        <f ca="1">OFFSET(IND!AN$25,$E57,0)</f>
        <v>4.8094576535994307</v>
      </c>
      <c r="AL57" s="150">
        <f ca="1">OFFSET(IND!AO$25,$E57,0)</f>
        <v>6.1305639757662203</v>
      </c>
      <c r="AM57" s="150">
        <f ca="1">OFFSET(IND!AP$25,$E57,0)</f>
        <v>7.477630242337824</v>
      </c>
      <c r="AQ57" s="4"/>
    </row>
    <row r="58" spans="1:43">
      <c r="A58" s="36" t="s">
        <v>359</v>
      </c>
      <c r="B58">
        <v>1.0716137343180001</v>
      </c>
      <c r="E58" s="153">
        <f ca="1">MATCH(F58,IND!$D$26:$D$255,0)</f>
        <v>210</v>
      </c>
      <c r="F58" s="4" t="str">
        <f t="shared" si="0"/>
        <v>IOTL</v>
      </c>
      <c r="G58" s="150">
        <f ca="1">OFFSET(IND!J$25,$E58,0)</f>
        <v>1.0095834302163471</v>
      </c>
      <c r="H58" s="150">
        <f ca="1">OFFSET(IND!K$25,$E58,0)</f>
        <v>1.0358626082512781</v>
      </c>
      <c r="I58" s="150">
        <f ca="1">OFFSET(IND!L$25,$E58,0)</f>
        <v>1.0530962617097481</v>
      </c>
      <c r="J58" s="150">
        <f ca="1">OFFSET(IND!M$25,$E58,0)</f>
        <v>0.54733968</v>
      </c>
      <c r="K58" s="150">
        <f ca="1">OFFSET(IND!N$25,$E58,0)</f>
        <v>0.54733968</v>
      </c>
      <c r="L58" s="150">
        <f ca="1">OFFSET(IND!O$25,$E58,0)</f>
        <v>0.54733968</v>
      </c>
      <c r="M58" s="150">
        <f ca="1">OFFSET(IND!P$25,$E58,0)</f>
        <v>0.55210782483250187</v>
      </c>
      <c r="N58" s="150">
        <f ca="1">OFFSET(IND!Q$25,$E58,0)</f>
        <v>0.55195611113328591</v>
      </c>
      <c r="O58" s="243">
        <f ca="1">OFFSET(IND!R$25,$E58,0)</f>
        <v>0.49900803010691386</v>
      </c>
      <c r="P58" s="150">
        <f ca="1">OFFSET(IND!S$25,$E58,0)</f>
        <v>0.5129873638203849</v>
      </c>
      <c r="Q58" s="150">
        <f ca="1">OFFSET(IND!T$25,$E58,0)</f>
        <v>0.52577466132573059</v>
      </c>
      <c r="R58" s="150">
        <f ca="1">OFFSET(IND!U$25,$E58,0)</f>
        <v>0.5382151846614398</v>
      </c>
      <c r="S58" s="150">
        <f ca="1">OFFSET(IND!V$25,$E58,0)</f>
        <v>0.55013554674269427</v>
      </c>
      <c r="T58" s="243">
        <f ca="1">OFFSET(IND!W$25,$E58,0)</f>
        <v>0.56266276362081258</v>
      </c>
      <c r="U58" s="150">
        <f ca="1">OFFSET(IND!X$25,$E58,0)</f>
        <v>0.5785060084960798</v>
      </c>
      <c r="V58" s="150">
        <f ca="1">OFFSET(IND!Y$25,$E58,0)</f>
        <v>0.5941325195153242</v>
      </c>
      <c r="W58" s="150">
        <f ca="1">OFFSET(IND!Z$25,$E58,0)</f>
        <v>0.61038755871703487</v>
      </c>
      <c r="X58" s="150">
        <f ca="1">OFFSET(IND!AA$25,$E58,0)</f>
        <v>0.62685933177476827</v>
      </c>
      <c r="Y58" s="245">
        <f ca="1">OFFSET(IND!AB$25,$E58,0)</f>
        <v>0.643742899158945</v>
      </c>
      <c r="Z58" s="150">
        <f ca="1">OFFSET(IND!AC$25,$E58,0)</f>
        <v>0.66242535754811105</v>
      </c>
      <c r="AA58" s="150">
        <f ca="1">OFFSET(IND!AD$25,$E58,0)</f>
        <v>0.6803492474411974</v>
      </c>
      <c r="AB58" s="150">
        <f ca="1">OFFSET(IND!AE$25,$E58,0)</f>
        <v>0.70018039526728437</v>
      </c>
      <c r="AC58" s="150">
        <f ca="1">OFFSET(IND!AF$25,$E58,0)</f>
        <v>0.72144198654312175</v>
      </c>
      <c r="AD58" s="150">
        <f ca="1">OFFSET(IND!AG$25,$E58,0)</f>
        <v>0.74398230756949379</v>
      </c>
      <c r="AE58" s="150">
        <f ca="1">OFFSET(IND!AH$25,$E58,0)</f>
        <v>0.76743291079116172</v>
      </c>
      <c r="AF58" s="150">
        <f ca="1">OFFSET(IND!AI$25,$E58,0)</f>
        <v>0.79172877605131853</v>
      </c>
      <c r="AG58" s="150">
        <f ca="1">OFFSET(IND!AJ$25,$E58,0)</f>
        <v>0.81626304855310039</v>
      </c>
      <c r="AH58" s="150">
        <f ca="1">OFFSET(IND!AK$25,$E58,0)</f>
        <v>0.84170760325017813</v>
      </c>
      <c r="AI58" s="150">
        <f ca="1">OFFSET(IND!AL$25,$E58,0)</f>
        <v>0.86864762155381325</v>
      </c>
      <c r="AJ58" s="150">
        <f ca="1">OFFSET(IND!AM$25,$E58,0)</f>
        <v>1.0180856152815396</v>
      </c>
      <c r="AK58" s="150">
        <f ca="1">OFFSET(IND!AN$25,$E58,0)</f>
        <v>1.2066007232501783</v>
      </c>
      <c r="AL58" s="150">
        <f ca="1">OFFSET(IND!AO$25,$E58,0)</f>
        <v>1.5380409725730588</v>
      </c>
      <c r="AM58" s="150">
        <f ca="1">OFFSET(IND!AP$25,$E58,0)</f>
        <v>1.8759940742694166</v>
      </c>
      <c r="AQ58" s="4"/>
    </row>
    <row r="59" spans="1:43">
      <c r="A59" s="36" t="s">
        <v>360</v>
      </c>
      <c r="B59">
        <v>13.06049710462</v>
      </c>
      <c r="E59" s="153">
        <f ca="1">MATCH(F59,IND!$D$26:$D$255,0)</f>
        <v>215</v>
      </c>
      <c r="F59" s="4" t="str">
        <f t="shared" si="0"/>
        <v>IOTO</v>
      </c>
      <c r="G59" s="150">
        <f ca="1">OFFSET(IND!J$25,$E59,0)</f>
        <v>12.304490923310874</v>
      </c>
      <c r="H59" s="150">
        <f ca="1">OFFSET(IND!K$25,$E59,0)</f>
        <v>12.624773425900665</v>
      </c>
      <c r="I59" s="150">
        <f ca="1">OFFSET(IND!L$25,$E59,0)</f>
        <v>12.834811869687117</v>
      </c>
      <c r="J59" s="150">
        <f ca="1">OFFSET(IND!M$25,$E59,0)</f>
        <v>6.6708069120000006</v>
      </c>
      <c r="K59" s="150">
        <f ca="1">OFFSET(IND!N$25,$E59,0)</f>
        <v>6.6708069120000006</v>
      </c>
      <c r="L59" s="150">
        <f ca="1">OFFSET(IND!O$25,$E59,0)</f>
        <v>6.6708069120000006</v>
      </c>
      <c r="M59" s="150">
        <f ca="1">OFFSET(IND!P$25,$E59,0)</f>
        <v>6.7289195880370656</v>
      </c>
      <c r="N59" s="150">
        <f ca="1">OFFSET(IND!Q$25,$E59,0)</f>
        <v>6.7270705483449769</v>
      </c>
      <c r="O59" s="243">
        <f ca="1">OFFSET(IND!R$25,$E59,0)</f>
        <v>6.0817556958061312</v>
      </c>
      <c r="P59" s="150">
        <f ca="1">OFFSET(IND!S$25,$E59,0)</f>
        <v>6.2521314960057026</v>
      </c>
      <c r="Q59" s="150">
        <f ca="1">OFFSET(IND!T$25,$E59,0)</f>
        <v>6.4079791271960085</v>
      </c>
      <c r="R59" s="150">
        <f ca="1">OFFSET(IND!U$25,$E59,0)</f>
        <v>6.5596003819472566</v>
      </c>
      <c r="S59" s="150">
        <f ca="1">OFFSET(IND!V$25,$E59,0)</f>
        <v>6.7048820720399158</v>
      </c>
      <c r="T59" s="243">
        <f ca="1">OFFSET(IND!W$25,$E59,0)</f>
        <v>6.8575599209009281</v>
      </c>
      <c r="U59" s="150">
        <f ca="1">OFFSET(IND!X$25,$E59,0)</f>
        <v>7.0506524944604427</v>
      </c>
      <c r="V59" s="150">
        <f ca="1">OFFSET(IND!Y$25,$E59,0)</f>
        <v>7.241103582745545</v>
      </c>
      <c r="W59" s="150">
        <f ca="1">OFFSET(IND!Z$25,$E59,0)</f>
        <v>7.4392149783264436</v>
      </c>
      <c r="X59" s="150">
        <f ca="1">OFFSET(IND!AA$25,$E59,0)</f>
        <v>7.6399678591817537</v>
      </c>
      <c r="Y59" s="245">
        <f ca="1">OFFSET(IND!AB$25,$E59,0)</f>
        <v>7.845739562058446</v>
      </c>
      <c r="Z59" s="150">
        <f ca="1">OFFSET(IND!AC$25,$E59,0)</f>
        <v>8.0734355927127588</v>
      </c>
      <c r="AA59" s="150">
        <f ca="1">OFFSET(IND!AD$25,$E59,0)</f>
        <v>8.2918864249066306</v>
      </c>
      <c r="AB59" s="150">
        <f ca="1">OFFSET(IND!AE$25,$E59,0)</f>
        <v>8.533582327515326</v>
      </c>
      <c r="AC59" s="150">
        <f ca="1">OFFSET(IND!AF$25,$E59,0)</f>
        <v>8.7927120329351407</v>
      </c>
      <c r="AD59" s="150">
        <f ca="1">OFFSET(IND!AG$25,$E59,0)</f>
        <v>9.0674265014739852</v>
      </c>
      <c r="AE59" s="150">
        <f ca="1">OFFSET(IND!AH$25,$E59,0)</f>
        <v>9.353235208165362</v>
      </c>
      <c r="AF59" s="150">
        <f ca="1">OFFSET(IND!AI$25,$E59,0)</f>
        <v>9.6493457074269458</v>
      </c>
      <c r="AG59" s="150">
        <f ca="1">OFFSET(IND!AJ$25,$E59,0)</f>
        <v>9.9483618404903797</v>
      </c>
      <c r="AH59" s="150">
        <f ca="1">OFFSET(IND!AK$25,$E59,0)</f>
        <v>10.258472211706346</v>
      </c>
      <c r="AI59" s="150">
        <f ca="1">OFFSET(IND!AL$25,$E59,0)</f>
        <v>10.586808831315755</v>
      </c>
      <c r="AJ59" s="150">
        <f ca="1">OFFSET(IND!AM$25,$E59,0)</f>
        <v>12.408112928022812</v>
      </c>
      <c r="AK59" s="150">
        <f ca="1">OFFSET(IND!AN$25,$E59,0)</f>
        <v>14.705676819706348</v>
      </c>
      <c r="AL59" s="150">
        <f ca="1">OFFSET(IND!AO$25,$E59,0)</f>
        <v>18.74516817560087</v>
      </c>
      <c r="AM59" s="150">
        <f ca="1">OFFSET(IND!AP$25,$E59,0)</f>
        <v>22.864036163991376</v>
      </c>
      <c r="AQ59" s="4"/>
    </row>
    <row r="60" spans="1:43">
      <c r="A60" s="36" t="s">
        <v>361</v>
      </c>
      <c r="B60">
        <v>4.6033799408959997</v>
      </c>
      <c r="E60" s="153">
        <f ca="1">MATCH(F60,IND!$D$26:$D$255,0)</f>
        <v>213</v>
      </c>
      <c r="F60" s="4" t="str">
        <f t="shared" si="0"/>
        <v>IOTP</v>
      </c>
      <c r="G60" s="150">
        <f ca="1">OFFSET(IND!J$25,$E60,0)</f>
        <v>4.3369135374845138</v>
      </c>
      <c r="H60" s="150">
        <f ca="1">OFFSET(IND!K$25,$E60,0)</f>
        <v>4.4498021998402679</v>
      </c>
      <c r="I60" s="150">
        <f ca="1">OFFSET(IND!L$25,$E60,0)</f>
        <v>4.5238335901616598</v>
      </c>
      <c r="J60" s="150">
        <f ca="1">OFFSET(IND!M$25,$E60,0)</f>
        <v>2.3512320000000004</v>
      </c>
      <c r="K60" s="150">
        <f ca="1">OFFSET(IND!N$25,$E60,0)</f>
        <v>2.3512320000000004</v>
      </c>
      <c r="L60" s="150">
        <f ca="1">OFFSET(IND!O$25,$E60,0)</f>
        <v>2.3512320000000004</v>
      </c>
      <c r="M60" s="150">
        <f ca="1">OFFSET(IND!P$25,$E60,0)</f>
        <v>2.3717147369921605</v>
      </c>
      <c r="N60" s="150">
        <f ca="1">OFFSET(IND!Q$25,$E60,0)</f>
        <v>2.3710630135424098</v>
      </c>
      <c r="O60" s="243">
        <f ca="1">OFFSET(IND!R$25,$E60,0)</f>
        <v>2.1436115295794731</v>
      </c>
      <c r="P60" s="150">
        <f ca="1">OFFSET(IND!S$25,$E60,0)</f>
        <v>2.2036631903064863</v>
      </c>
      <c r="Q60" s="150">
        <f ca="1">OFFSET(IND!T$25,$E60,0)</f>
        <v>2.2585941667854597</v>
      </c>
      <c r="R60" s="150">
        <f ca="1">OFFSET(IND!U$25,$E60,0)</f>
        <v>2.3120354896650039</v>
      </c>
      <c r="S60" s="150">
        <f ca="1">OFFSET(IND!V$25,$E60,0)</f>
        <v>2.3632423321454032</v>
      </c>
      <c r="T60" s="243">
        <f ca="1">OFFSET(IND!W$25,$E60,0)</f>
        <v>2.4170560684248046</v>
      </c>
      <c r="U60" s="150">
        <f ca="1">OFFSET(IND!X$25,$E60,0)</f>
        <v>2.4851146172487533</v>
      </c>
      <c r="V60" s="150">
        <f ca="1">OFFSET(IND!Y$25,$E60,0)</f>
        <v>2.552242132573058</v>
      </c>
      <c r="W60" s="150">
        <f ca="1">OFFSET(IND!Z$25,$E60,0)</f>
        <v>2.6220696450463299</v>
      </c>
      <c r="X60" s="150">
        <f ca="1">OFFSET(IND!AA$25,$E60,0)</f>
        <v>2.6928281910192449</v>
      </c>
      <c r="Y60" s="245">
        <f ca="1">OFFSET(IND!AB$25,$E60,0)</f>
        <v>2.7653557006414826</v>
      </c>
      <c r="Z60" s="150">
        <f ca="1">OFFSET(IND!AC$25,$E60,0)</f>
        <v>2.8456107883107631</v>
      </c>
      <c r="AA60" s="150">
        <f ca="1">OFFSET(IND!AD$25,$E60,0)</f>
        <v>2.9226072587312908</v>
      </c>
      <c r="AB60" s="150">
        <f ca="1">OFFSET(IND!AE$25,$E60,0)</f>
        <v>3.0077968239486821</v>
      </c>
      <c r="AC60" s="150">
        <f ca="1">OFFSET(IND!AF$25,$E60,0)</f>
        <v>3.099131210263721</v>
      </c>
      <c r="AD60" s="150">
        <f ca="1">OFFSET(IND!AG$25,$E60,0)</f>
        <v>3.1959586942266576</v>
      </c>
      <c r="AE60" s="150">
        <f ca="1">OFFSET(IND!AH$25,$E60,0)</f>
        <v>3.2966965188880977</v>
      </c>
      <c r="AF60" s="150">
        <f ca="1">OFFSET(IND!AI$25,$E60,0)</f>
        <v>3.401065374198148</v>
      </c>
      <c r="AG60" s="150">
        <f ca="1">OFFSET(IND!AJ$25,$E60,0)</f>
        <v>3.5064583663578057</v>
      </c>
      <c r="AH60" s="150">
        <f ca="1">OFFSET(IND!AK$25,$E60,0)</f>
        <v>3.6157616992159674</v>
      </c>
      <c r="AI60" s="150">
        <f ca="1">OFFSET(IND!AL$25,$E60,0)</f>
        <v>3.7314891632216698</v>
      </c>
      <c r="AJ60" s="150">
        <f ca="1">OFFSET(IND!AM$25,$E60,0)</f>
        <v>4.373436761225947</v>
      </c>
      <c r="AK60" s="150">
        <f ca="1">OFFSET(IND!AN$25,$E60,0)</f>
        <v>5.1832496992159687</v>
      </c>
      <c r="AL60" s="150">
        <f ca="1">OFFSET(IND!AO$25,$E60,0)</f>
        <v>6.6070326785459805</v>
      </c>
      <c r="AM60" s="150">
        <f ca="1">OFFSET(IND!AP$25,$E60,0)</f>
        <v>8.0587932145402483</v>
      </c>
      <c r="AQ60" s="4"/>
    </row>
    <row r="61" spans="1:43">
      <c r="A61" s="36" t="s">
        <v>362</v>
      </c>
      <c r="B61">
        <v>109.842732955</v>
      </c>
      <c r="E61" s="153">
        <f ca="1">MATCH(F61,IND!$D$26:$D$255,0)</f>
        <v>218</v>
      </c>
      <c r="F61" s="4" t="str">
        <f t="shared" si="0"/>
        <v>IOTS</v>
      </c>
      <c r="G61" s="150">
        <f ca="1">OFFSET(IND!J$25,$E61,0)</f>
        <v>73.690487252999532</v>
      </c>
      <c r="H61" s="150">
        <f ca="1">OFFSET(IND!K$25,$E61,0)</f>
        <v>75.608630296994804</v>
      </c>
      <c r="I61" s="150">
        <f ca="1">OFFSET(IND!L$25,$E61,0)</f>
        <v>76.866531608065117</v>
      </c>
      <c r="J61" s="150">
        <f ca="1">OFFSET(IND!M$25,$E61,0)</f>
        <v>61.561340800000004</v>
      </c>
      <c r="K61" s="150">
        <f ca="1">OFFSET(IND!N$25,$E61,0)</f>
        <v>61.561340800000004</v>
      </c>
      <c r="L61" s="150">
        <f ca="1">OFFSET(IND!O$25,$E61,0)</f>
        <v>61.561340800000004</v>
      </c>
      <c r="M61" s="150">
        <f ca="1">OFFSET(IND!P$25,$E61,0)</f>
        <v>62.097631881650443</v>
      </c>
      <c r="N61" s="150">
        <f ca="1">OFFSET(IND!Q$25,$E61,0)</f>
        <v>62.080568074507021</v>
      </c>
      <c r="O61" s="243">
        <f ca="1">OFFSET(IND!R$25,$E61,0)</f>
        <v>56.125299381452457</v>
      </c>
      <c r="P61" s="150">
        <f ca="1">OFFSET(IND!S$25,$E61,0)</f>
        <v>57.69760732538213</v>
      </c>
      <c r="Q61" s="150">
        <f ca="1">OFFSET(IND!T$25,$E61,0)</f>
        <v>59.135842498899194</v>
      </c>
      <c r="R61" s="150">
        <f ca="1">OFFSET(IND!U$25,$E61,0)</f>
        <v>60.535074684659875</v>
      </c>
      <c r="S61" s="150">
        <f ca="1">OFFSET(IND!V$25,$E61,0)</f>
        <v>61.875802388785964</v>
      </c>
      <c r="T61" s="243">
        <f ca="1">OFFSET(IND!W$25,$E61,0)</f>
        <v>63.284785321485735</v>
      </c>
      <c r="U61" s="150">
        <f ca="1">OFFSET(IND!X$25,$E61,0)</f>
        <v>65.066734324606031</v>
      </c>
      <c r="V61" s="150">
        <f ca="1">OFFSET(IND!Y$25,$E61,0)</f>
        <v>66.82430646037858</v>
      </c>
      <c r="W61" s="150">
        <f ca="1">OFFSET(IND!Z$25,$E61,0)</f>
        <v>68.652571511459598</v>
      </c>
      <c r="X61" s="150">
        <f ca="1">OFFSET(IND!AA$25,$E61,0)</f>
        <v>70.505213429888357</v>
      </c>
      <c r="Y61" s="245">
        <f ca="1">OFFSET(IND!AB$25,$E61,0)</f>
        <v>72.404171396277832</v>
      </c>
      <c r="Z61" s="150">
        <f ca="1">OFFSET(IND!AC$25,$E61,0)</f>
        <v>74.505457361653612</v>
      </c>
      <c r="AA61" s="150">
        <f ca="1">OFFSET(IND!AD$25,$E61,0)</f>
        <v>76.521424291312286</v>
      </c>
      <c r="AB61" s="150">
        <f ca="1">OFFSET(IND!AE$25,$E61,0)</f>
        <v>78.751907653631122</v>
      </c>
      <c r="AC61" s="150">
        <f ca="1">OFFSET(IND!AF$25,$E61,0)</f>
        <v>81.143278340445079</v>
      </c>
      <c r="AD61" s="150">
        <f ca="1">OFFSET(IND!AG$25,$E61,0)</f>
        <v>83.678472544610756</v>
      </c>
      <c r="AE61" s="150">
        <f ca="1">OFFSET(IND!AH$25,$E61,0)</f>
        <v>86.316049591636968</v>
      </c>
      <c r="AF61" s="150">
        <f ca="1">OFFSET(IND!AI$25,$E61,0)</f>
        <v>89.048696421319406</v>
      </c>
      <c r="AG61" s="150">
        <f ca="1">OFFSET(IND!AJ$25,$E61,0)</f>
        <v>91.808157805084349</v>
      </c>
      <c r="AH61" s="150">
        <f ca="1">OFFSET(IND!AK$25,$E61,0)</f>
        <v>94.670002031709842</v>
      </c>
      <c r="AI61" s="150">
        <f ca="1">OFFSET(IND!AL$25,$E61,0)</f>
        <v>97.700046643034796</v>
      </c>
      <c r="AJ61" s="150">
        <f ca="1">OFFSET(IND!AM$25,$E61,0)</f>
        <v>114.50789667930628</v>
      </c>
      <c r="AK61" s="150">
        <f ca="1">OFFSET(IND!AN$25,$E61,0)</f>
        <v>135.71089589837655</v>
      </c>
      <c r="AL61" s="150">
        <f ca="1">OFFSET(IND!AO$25,$E61,0)</f>
        <v>172.98922028991859</v>
      </c>
      <c r="AM61" s="150">
        <f ca="1">OFFSET(IND!AP$25,$E61,0)</f>
        <v>211.00006954525952</v>
      </c>
      <c r="AQ61" s="4"/>
    </row>
    <row r="62" spans="1:43">
      <c r="A62" s="36" t="s">
        <v>363</v>
      </c>
      <c r="B62">
        <v>9.3435013244270007</v>
      </c>
      <c r="E62" s="152">
        <f>MATCH(F62,RES!$D$99:$D$137,0)</f>
        <v>25</v>
      </c>
      <c r="F62" s="4" t="str">
        <f t="shared" si="0"/>
        <v>RHEH</v>
      </c>
      <c r="G62" s="150">
        <f ca="1">OFFSET(RES!J$98,$E62,0)</f>
        <v>7.0842557645058601</v>
      </c>
      <c r="H62" s="150">
        <f ca="1">OFFSET(RES!K$98,$E62,0)</f>
        <v>7.2302855472935121</v>
      </c>
      <c r="I62" s="150">
        <f ca="1">OFFSET(RES!L$98,$E62,0)</f>
        <v>7.3763153300811641</v>
      </c>
      <c r="J62" s="150">
        <f ca="1">OFFSET(RES!M$98,$E62,0)</f>
        <v>7.5223451128688161</v>
      </c>
      <c r="K62" s="150">
        <f ca="1">OFFSET(RES!N$98,$E62,0)</f>
        <v>7.6683748956564681</v>
      </c>
      <c r="L62" s="150">
        <f ca="1">OFFSET(RES!O$98,$E62,0)</f>
        <v>7.8144046784441201</v>
      </c>
      <c r="M62" s="150">
        <f ca="1">OFFSET(RES!P$98,$E62,0)</f>
        <v>8.0108006278631798</v>
      </c>
      <c r="N62" s="150">
        <f ca="1">OFFSET(RES!Q$98,$E62,0)</f>
        <v>8.0687718780490307</v>
      </c>
      <c r="O62" s="243">
        <f ca="1">OFFSET(RES!R$98,$E62,0)</f>
        <v>7.2692215229407262</v>
      </c>
      <c r="P62" s="150">
        <f ca="1">OFFSET(RES!S$98,$E62,0)</f>
        <v>7.4433598385564741</v>
      </c>
      <c r="Q62" s="150">
        <f ca="1">OFFSET(RES!T$98,$E62,0)</f>
        <v>7.6684655665404149</v>
      </c>
      <c r="R62" s="150">
        <f ca="1">OFFSET(RES!U$98,$E62,0)</f>
        <v>7.9087385519901581</v>
      </c>
      <c r="S62" s="150">
        <f ca="1">OFFSET(RES!V$98,$E62,0)</f>
        <v>8.1380720749528486</v>
      </c>
      <c r="T62" s="243">
        <f ca="1">OFFSET(RES!W$98,$E62,0)</f>
        <v>8.3577535494142676</v>
      </c>
      <c r="U62" s="150">
        <f ca="1">OFFSET(RES!X$98,$E62,0)</f>
        <v>8.6745154343834869</v>
      </c>
      <c r="V62" s="150">
        <f ca="1">OFFSET(RES!Y$98,$E62,0)</f>
        <v>8.9858403510171332</v>
      </c>
      <c r="W62" s="150">
        <f ca="1">OFFSET(RES!Z$98,$E62,0)</f>
        <v>9.3093095917245154</v>
      </c>
      <c r="X62" s="150">
        <f ca="1">OFFSET(RES!AA$98,$E62,0)</f>
        <v>9.6741467868042914</v>
      </c>
      <c r="Y62" s="245">
        <f ca="1">OFFSET(RES!AB$98,$E62,0)</f>
        <v>9.9947922520842578</v>
      </c>
      <c r="Z62" s="150">
        <f ca="1">OFFSET(RES!AC$98,$E62,0)</f>
        <v>10.363784195273519</v>
      </c>
      <c r="AA62" s="150">
        <f ca="1">OFFSET(RES!AD$98,$E62,0)</f>
        <v>10.688691100429752</v>
      </c>
      <c r="AB62" s="150">
        <f ca="1">OFFSET(RES!AE$98,$E62,0)</f>
        <v>11.045676663464176</v>
      </c>
      <c r="AC62" s="150">
        <f ca="1">OFFSET(RES!AF$98,$E62,0)</f>
        <v>11.422969226108833</v>
      </c>
      <c r="AD62" s="150">
        <f ca="1">OFFSET(RES!AG$98,$E62,0)</f>
        <v>11.81895418629315</v>
      </c>
      <c r="AE62" s="150">
        <f ca="1">OFFSET(RES!AH$98,$E62,0)</f>
        <v>12.208438469757301</v>
      </c>
      <c r="AF62" s="150">
        <f ca="1">OFFSET(RES!AI$98,$E62,0)</f>
        <v>12.596348026843271</v>
      </c>
      <c r="AG62" s="150">
        <f ca="1">OFFSET(RES!AJ$98,$E62,0)</f>
        <v>12.97030941361902</v>
      </c>
      <c r="AH62" s="150">
        <f ca="1">OFFSET(RES!AK$98,$E62,0)</f>
        <v>13.344216699133456</v>
      </c>
      <c r="AI62" s="150">
        <f ca="1">OFFSET(RES!AL$98,$E62,0)</f>
        <v>13.723782960057317</v>
      </c>
      <c r="AJ62" s="150">
        <f ca="1">OFFSET(RES!AM$98,$E62,0)</f>
        <v>15.856269351073989</v>
      </c>
      <c r="AK62" s="150">
        <f ca="1">OFFSET(RES!AN$98,$E62,0)</f>
        <v>17.906236998060969</v>
      </c>
      <c r="AL62" s="150">
        <f ca="1">OFFSET(RES!AO$98,$E62,0)</f>
        <v>17.906236998060969</v>
      </c>
      <c r="AM62" s="150">
        <f ca="1">OFFSET(RES!AP$98,$E62,0)</f>
        <v>17.906236998060969</v>
      </c>
      <c r="AQ62" s="4"/>
    </row>
    <row r="63" spans="1:43">
      <c r="A63" s="36" t="s">
        <v>364</v>
      </c>
      <c r="B63">
        <v>3.5355599850489998</v>
      </c>
      <c r="E63" s="153">
        <f>MATCH(F63,RES!$D$99:$D$137,0)</f>
        <v>24</v>
      </c>
      <c r="F63" s="4" t="str">
        <f t="shared" si="0"/>
        <v>RHEK</v>
      </c>
      <c r="G63" s="150">
        <f ca="1">OFFSET(RES!J$98,$E63,0)</f>
        <v>3.8919130042693295</v>
      </c>
      <c r="H63" s="150">
        <f ca="1">OFFSET(RES!K$98,$E63,0)</f>
        <v>4.2233553788747606</v>
      </c>
      <c r="I63" s="150">
        <f ca="1">OFFSET(RES!L$98,$E63,0)</f>
        <v>4.5547977534801918</v>
      </c>
      <c r="J63" s="150">
        <f ca="1">OFFSET(RES!M$98,$E63,0)</f>
        <v>4.886240128085622</v>
      </c>
      <c r="K63" s="150">
        <f ca="1">OFFSET(RES!N$98,$E63,0)</f>
        <v>5.2176825026910532</v>
      </c>
      <c r="L63" s="150">
        <f ca="1">OFFSET(RES!O$98,$E63,0)</f>
        <v>5.5491248772964843</v>
      </c>
      <c r="M63" s="150">
        <f ca="1">OFFSET(RES!P$98,$E63,0)</f>
        <v>5.6885885592488448</v>
      </c>
      <c r="N63" s="150">
        <f ca="1">OFFSET(RES!Q$98,$E63,0)</f>
        <v>5.7297548054072571</v>
      </c>
      <c r="O63" s="243">
        <f ca="1">OFFSET(RES!R$98,$E63,0)</f>
        <v>5.1619822176346313</v>
      </c>
      <c r="P63" s="150">
        <f ca="1">OFFSET(RES!S$98,$E63,0)</f>
        <v>5.2856404230945317</v>
      </c>
      <c r="Q63" s="150">
        <f ca="1">OFFSET(RES!T$98,$E63,0)</f>
        <v>5.4454913454076985</v>
      </c>
      <c r="R63" s="150">
        <f ca="1">OFFSET(RES!U$98,$E63,0)</f>
        <v>5.6161127626193466</v>
      </c>
      <c r="S63" s="150">
        <f ca="1">OFFSET(RES!V$98,$E63,0)</f>
        <v>5.7789659049682127</v>
      </c>
      <c r="T63" s="243">
        <f ca="1">OFFSET(RES!W$98,$E63,0)</f>
        <v>5.9349649842554326</v>
      </c>
      <c r="U63" s="150">
        <f ca="1">OFFSET(RES!X$98,$E63,0)</f>
        <v>6.1599023055731701</v>
      </c>
      <c r="V63" s="150">
        <f ca="1">OFFSET(RES!Y$98,$E63,0)</f>
        <v>6.3809787548872832</v>
      </c>
      <c r="W63" s="150">
        <f ca="1">OFFSET(RES!Z$98,$E63,0)</f>
        <v>6.6106790691800574</v>
      </c>
      <c r="X63" s="150">
        <f ca="1">OFFSET(RES!AA$98,$E63,0)</f>
        <v>6.8697553825638362</v>
      </c>
      <c r="Y63" s="245">
        <f ca="1">OFFSET(RES!AB$98,$E63,0)</f>
        <v>7.0974504919668</v>
      </c>
      <c r="Z63" s="150">
        <f ca="1">OFFSET(RES!AC$98,$E63,0)</f>
        <v>7.359477153719002</v>
      </c>
      <c r="AA63" s="150">
        <f ca="1">OFFSET(RES!AD$98,$E63,0)</f>
        <v>7.5901983748993258</v>
      </c>
      <c r="AB63" s="150">
        <f ca="1">OFFSET(RES!AE$98,$E63,0)</f>
        <v>7.8436991276994013</v>
      </c>
      <c r="AC63" s="150">
        <f ca="1">OFFSET(RES!AF$98,$E63,0)</f>
        <v>8.1116201826667336</v>
      </c>
      <c r="AD63" s="150">
        <f ca="1">OFFSET(RES!AG$98,$E63,0)</f>
        <v>8.3928149868794524</v>
      </c>
      <c r="AE63" s="150">
        <f ca="1">OFFSET(RES!AH$98,$E63,0)</f>
        <v>8.6693935639588826</v>
      </c>
      <c r="AF63" s="150">
        <f ca="1">OFFSET(RES!AI$98,$E63,0)</f>
        <v>8.9448539044381281</v>
      </c>
      <c r="AG63" s="150">
        <f ca="1">OFFSET(RES!AJ$98,$E63,0)</f>
        <v>9.210409441922625</v>
      </c>
      <c r="AH63" s="150">
        <f ca="1">OFFSET(RES!AK$98,$E63,0)</f>
        <v>9.4759265612975678</v>
      </c>
      <c r="AI63" s="150">
        <f ca="1">OFFSET(RES!AL$98,$E63,0)</f>
        <v>9.7454622031981071</v>
      </c>
      <c r="AJ63" s="150">
        <f ca="1">OFFSET(RES!AM$98,$E63,0)</f>
        <v>11.25977247631835</v>
      </c>
      <c r="AK63" s="150">
        <f ca="1">OFFSET(RES!AN$98,$E63,0)</f>
        <v>12.715484963147649</v>
      </c>
      <c r="AL63" s="150">
        <f ca="1">OFFSET(RES!AO$98,$E63,0)</f>
        <v>12.715484963147649</v>
      </c>
      <c r="AM63" s="150">
        <f ca="1">OFFSET(RES!AP$98,$E63,0)</f>
        <v>12.715484963147649</v>
      </c>
      <c r="AQ63" s="4"/>
    </row>
    <row r="64" spans="1:43">
      <c r="A64" s="36" t="s">
        <v>365</v>
      </c>
      <c r="B64">
        <v>27.200595464100001</v>
      </c>
      <c r="E64" s="153">
        <f>MATCH(F64,RES!$D$99:$D$137,0)</f>
        <v>23</v>
      </c>
      <c r="F64" s="4" t="str">
        <f t="shared" si="0"/>
        <v>RHEL</v>
      </c>
      <c r="G64" s="150">
        <f ca="1">OFFSET(RES!J$98,$E64,0)</f>
        <v>29.15490908598996</v>
      </c>
      <c r="H64" s="150">
        <f ca="1">OFFSET(RES!K$98,$E64,0)</f>
        <v>29.919036883195538</v>
      </c>
      <c r="I64" s="150">
        <f ca="1">OFFSET(RES!L$98,$E64,0)</f>
        <v>30.683164680401113</v>
      </c>
      <c r="J64" s="150">
        <f ca="1">OFFSET(RES!M$98,$E64,0)</f>
        <v>31.447292477606691</v>
      </c>
      <c r="K64" s="150">
        <f ca="1">OFFSET(RES!N$98,$E64,0)</f>
        <v>32.211420274812269</v>
      </c>
      <c r="L64" s="150">
        <f ca="1">OFFSET(RES!O$98,$E64,0)</f>
        <v>32.975548072017844</v>
      </c>
      <c r="M64" s="150">
        <f ca="1">OFFSET(RES!P$98,$E64,0)</f>
        <v>33.804307822467223</v>
      </c>
      <c r="N64" s="150">
        <f ca="1">OFFSET(RES!Q$98,$E64,0)</f>
        <v>34.048937301737944</v>
      </c>
      <c r="O64" s="243">
        <f ca="1">OFFSET(RES!R$98,$E64,0)</f>
        <v>30.674961643220815</v>
      </c>
      <c r="P64" s="150">
        <f ca="1">OFFSET(RES!S$98,$E64,0)</f>
        <v>31.409797709953747</v>
      </c>
      <c r="Q64" s="150">
        <f ca="1">OFFSET(RES!T$98,$E64,0)</f>
        <v>32.359708171450215</v>
      </c>
      <c r="R64" s="150">
        <f ca="1">OFFSET(RES!U$98,$E64,0)</f>
        <v>33.373622053330564</v>
      </c>
      <c r="S64" s="150">
        <f ca="1">OFFSET(RES!V$98,$E64,0)</f>
        <v>34.341373138943283</v>
      </c>
      <c r="T64" s="243">
        <f ca="1">OFFSET(RES!W$98,$E64,0)</f>
        <v>35.268394111074024</v>
      </c>
      <c r="U64" s="150">
        <f ca="1">OFFSET(RES!X$98,$E64,0)</f>
        <v>36.605079014787655</v>
      </c>
      <c r="V64" s="150">
        <f ca="1">OFFSET(RES!Y$98,$E64,0)</f>
        <v>37.91882077464156</v>
      </c>
      <c r="W64" s="150">
        <f ca="1">OFFSET(RES!Z$98,$E64,0)</f>
        <v>39.283809655520606</v>
      </c>
      <c r="X64" s="150">
        <f ca="1">OFFSET(RES!AA$98,$E64,0)</f>
        <v>40.823364741271384</v>
      </c>
      <c r="Y64" s="245">
        <f ca="1">OFFSET(RES!AB$98,$E64,0)</f>
        <v>42.176437737808243</v>
      </c>
      <c r="Z64" s="150">
        <f ca="1">OFFSET(RES!AC$98,$E64,0)</f>
        <v>43.733525201475075</v>
      </c>
      <c r="AA64" s="150">
        <f ca="1">OFFSET(RES!AD$98,$E64,0)</f>
        <v>45.104580798258311</v>
      </c>
      <c r="AB64" s="150">
        <f ca="1">OFFSET(RES!AE$98,$E64,0)</f>
        <v>46.611003242354435</v>
      </c>
      <c r="AC64" s="150">
        <f ca="1">OFFSET(RES!AF$98,$E64,0)</f>
        <v>48.203118003319283</v>
      </c>
      <c r="AD64" s="150">
        <f ca="1">OFFSET(RES!AG$98,$E64,0)</f>
        <v>49.874111716554246</v>
      </c>
      <c r="AE64" s="150">
        <f ca="1">OFFSET(RES!AH$98,$E64,0)</f>
        <v>51.517673605292359</v>
      </c>
      <c r="AF64" s="150">
        <f ca="1">OFFSET(RES!AI$98,$E64,0)</f>
        <v>53.154590398527901</v>
      </c>
      <c r="AG64" s="150">
        <f ca="1">OFFSET(RES!AJ$98,$E64,0)</f>
        <v>54.732648125781083</v>
      </c>
      <c r="AH64" s="150">
        <f ca="1">OFFSET(RES!AK$98,$E64,0)</f>
        <v>56.31047755429411</v>
      </c>
      <c r="AI64" s="150">
        <f ca="1">OFFSET(RES!AL$98,$E64,0)</f>
        <v>57.912186961299497</v>
      </c>
      <c r="AJ64" s="150">
        <f ca="1">OFFSET(RES!AM$98,$E64,0)</f>
        <v>66.910941235424843</v>
      </c>
      <c r="AK64" s="150">
        <f ca="1">OFFSET(RES!AN$98,$E64,0)</f>
        <v>75.561479500453586</v>
      </c>
      <c r="AL64" s="150">
        <f ca="1">OFFSET(RES!AO$98,$E64,0)</f>
        <v>75.561479500453586</v>
      </c>
      <c r="AM64" s="150">
        <f ca="1">OFFSET(RES!AP$98,$E64,0)</f>
        <v>75.561479500453586</v>
      </c>
      <c r="AQ64" s="4"/>
    </row>
    <row r="65" spans="1:39">
      <c r="A65" s="36" t="s">
        <v>366</v>
      </c>
      <c r="B65">
        <v>11.63227160329</v>
      </c>
      <c r="E65" s="153">
        <f>MATCH(F65,RES!$D$99:$D$137,0)</f>
        <v>29</v>
      </c>
      <c r="F65" s="4" t="str">
        <f t="shared" si="0"/>
        <v>RHEO</v>
      </c>
      <c r="G65" s="150">
        <f ca="1">OFFSET(RES!J$98,$E65,0)</f>
        <v>11.690334156193106</v>
      </c>
      <c r="H65" s="150">
        <f ca="1">OFFSET(RES!K$98,$E65,0)</f>
        <v>12.00003056398719</v>
      </c>
      <c r="I65" s="150">
        <f ca="1">OFFSET(RES!L$98,$E65,0)</f>
        <v>12.309726971781274</v>
      </c>
      <c r="J65" s="150">
        <f ca="1">OFFSET(RES!M$98,$E65,0)</f>
        <v>12.619423379575359</v>
      </c>
      <c r="K65" s="150">
        <f ca="1">OFFSET(RES!N$98,$E65,0)</f>
        <v>12.929119787369443</v>
      </c>
      <c r="L65" s="150">
        <f ca="1">OFFSET(RES!O$98,$E65,0)</f>
        <v>13.238816195163526</v>
      </c>
      <c r="M65" s="150">
        <f ca="1">OFFSET(RES!P$98,$E65,0)</f>
        <v>13.571541461236034</v>
      </c>
      <c r="N65" s="150">
        <f ca="1">OFFSET(RES!Q$98,$E65,0)</f>
        <v>13.669753770093209</v>
      </c>
      <c r="O65" s="243">
        <f ca="1">OFFSET(RES!R$98,$E65,0)</f>
        <v>12.31519118655369</v>
      </c>
      <c r="P65" s="150">
        <f ca="1">OFFSET(RES!S$98,$E65,0)</f>
        <v>12.610208561240162</v>
      </c>
      <c r="Q65" s="150">
        <f ca="1">OFFSET(RES!T$98,$E65,0)</f>
        <v>12.991572654845207</v>
      </c>
      <c r="R65" s="150">
        <f ca="1">OFFSET(RES!U$98,$E65,0)</f>
        <v>13.398632440193525</v>
      </c>
      <c r="S65" s="150">
        <f ca="1">OFFSET(RES!V$98,$E65,0)</f>
        <v>13.787159075660382</v>
      </c>
      <c r="T65" s="243">
        <f ca="1">OFFSET(RES!W$98,$E65,0)</f>
        <v>14.159333640653129</v>
      </c>
      <c r="U65" s="150">
        <f ca="1">OFFSET(RES!X$98,$E65,0)</f>
        <v>14.695977511210389</v>
      </c>
      <c r="V65" s="150">
        <f ca="1">OFFSET(RES!Y$98,$E65,0)</f>
        <v>15.223410312285656</v>
      </c>
      <c r="W65" s="150">
        <f ca="1">OFFSET(RES!Z$98,$E65,0)</f>
        <v>15.771417486053727</v>
      </c>
      <c r="X65" s="150">
        <f ca="1">OFFSET(RES!AA$98,$E65,0)</f>
        <v>16.389508404757191</v>
      </c>
      <c r="Y65" s="245">
        <f ca="1">OFFSET(RES!AB$98,$E65,0)</f>
        <v>16.932731664023994</v>
      </c>
      <c r="Z65" s="150">
        <f ca="1">OFFSET(RES!AC$98,$E65,0)</f>
        <v>17.557861371838342</v>
      </c>
      <c r="AA65" s="150">
        <f ca="1">OFFSET(RES!AD$98,$E65,0)</f>
        <v>18.10830417265311</v>
      </c>
      <c r="AB65" s="150">
        <f ca="1">OFFSET(RES!AE$98,$E65,0)</f>
        <v>18.713093206215252</v>
      </c>
      <c r="AC65" s="150">
        <f ca="1">OFFSET(RES!AF$98,$E65,0)</f>
        <v>19.352285453634071</v>
      </c>
      <c r="AD65" s="150">
        <f ca="1">OFFSET(RES!AG$98,$E65,0)</f>
        <v>20.023145528028515</v>
      </c>
      <c r="AE65" s="150">
        <f ca="1">OFFSET(RES!AH$98,$E65,0)</f>
        <v>20.682992445594795</v>
      </c>
      <c r="AF65" s="150">
        <f ca="1">OFFSET(RES!AI$98,$E65,0)</f>
        <v>21.340171531901209</v>
      </c>
      <c r="AG65" s="150">
        <f ca="1">OFFSET(RES!AJ$98,$E65,0)</f>
        <v>21.973720249600625</v>
      </c>
      <c r="AH65" s="150">
        <f ca="1">OFFSET(RES!AK$98,$E65,0)</f>
        <v>22.607177311353887</v>
      </c>
      <c r="AI65" s="150">
        <f ca="1">OFFSET(RES!AL$98,$E65,0)</f>
        <v>23.250221557080994</v>
      </c>
      <c r="AJ65" s="150">
        <f ca="1">OFFSET(RES!AM$98,$E65,0)</f>
        <v>26.862984976824745</v>
      </c>
      <c r="AK65" s="150">
        <f ca="1">OFFSET(RES!AN$98,$E65,0)</f>
        <v>30.335948817481128</v>
      </c>
      <c r="AL65" s="150">
        <f ca="1">OFFSET(RES!AO$98,$E65,0)</f>
        <v>30.335948817481128</v>
      </c>
      <c r="AM65" s="150">
        <f ca="1">OFFSET(RES!AP$98,$E65,0)</f>
        <v>30.335948817481128</v>
      </c>
    </row>
    <row r="66" spans="1:39">
      <c r="A66" s="36" t="s">
        <v>367</v>
      </c>
      <c r="B66">
        <v>4.337948126733</v>
      </c>
      <c r="E66" s="153">
        <f>MATCH(F66,RES!$D$99:$D$137,0)</f>
        <v>28</v>
      </c>
      <c r="F66" s="4" t="str">
        <f t="shared" si="0"/>
        <v>RHER</v>
      </c>
      <c r="G66" s="150">
        <f ca="1">OFFSET(RES!J$98,$E66,0)</f>
        <v>5.223009778600523</v>
      </c>
      <c r="H66" s="150">
        <f ca="1">OFFSET(RES!K$98,$E66,0)</f>
        <v>5.3613760001895816</v>
      </c>
      <c r="I66" s="150">
        <f ca="1">OFFSET(RES!L$98,$E66,0)</f>
        <v>5.4997422217786411</v>
      </c>
      <c r="J66" s="150">
        <f ca="1">OFFSET(RES!M$98,$E66,0)</f>
        <v>5.6381084433676998</v>
      </c>
      <c r="K66" s="150">
        <f ca="1">OFFSET(RES!N$98,$E66,0)</f>
        <v>5.7764746649567593</v>
      </c>
      <c r="L66" s="150">
        <f ca="1">OFFSET(RES!O$98,$E66,0)</f>
        <v>5.914840886545818</v>
      </c>
      <c r="M66" s="150">
        <f ca="1">OFFSET(RES!P$98,$E66,0)</f>
        <v>6.06349594593636</v>
      </c>
      <c r="N66" s="150">
        <f ca="1">OFFSET(RES!Q$98,$E66,0)</f>
        <v>6.1073752604782978</v>
      </c>
      <c r="O66" s="243">
        <f ca="1">OFFSET(RES!R$98,$E66,0)</f>
        <v>5.5021835247223718</v>
      </c>
      <c r="P66" s="150">
        <f ca="1">OFFSET(RES!S$98,$E66,0)</f>
        <v>5.6339914450313211</v>
      </c>
      <c r="Q66" s="150">
        <f ca="1">OFFSET(RES!T$98,$E66,0)</f>
        <v>5.8043773692908989</v>
      </c>
      <c r="R66" s="150">
        <f ca="1">OFFSET(RES!U$98,$E66,0)</f>
        <v>5.9862436197284854</v>
      </c>
      <c r="S66" s="150">
        <f ca="1">OFFSET(RES!V$98,$E66,0)</f>
        <v>6.159829625840648</v>
      </c>
      <c r="T66" s="243">
        <f ca="1">OFFSET(RES!W$98,$E66,0)</f>
        <v>6.3261098507111857</v>
      </c>
      <c r="U66" s="150">
        <f ca="1">OFFSET(RES!X$98,$E66,0)</f>
        <v>6.5658717040592132</v>
      </c>
      <c r="V66" s="150">
        <f ca="1">OFFSET(RES!Y$98,$E66,0)</f>
        <v>6.8015182339842282</v>
      </c>
      <c r="W66" s="150">
        <f ca="1">OFFSET(RES!Z$98,$E66,0)</f>
        <v>7.0463569861611752</v>
      </c>
      <c r="X66" s="150">
        <f ca="1">OFFSET(RES!AA$98,$E66,0)</f>
        <v>7.322507767594753</v>
      </c>
      <c r="Y66" s="245">
        <f ca="1">OFFSET(RES!AB$98,$E66,0)</f>
        <v>7.5652091615160453</v>
      </c>
      <c r="Z66" s="150">
        <f ca="1">OFFSET(RES!AC$98,$E66,0)</f>
        <v>7.8445047345239667</v>
      </c>
      <c r="AA66" s="150">
        <f ca="1">OFFSET(RES!AD$98,$E66,0)</f>
        <v>8.0904316766287607</v>
      </c>
      <c r="AB66" s="150">
        <f ca="1">OFFSET(RES!AE$98,$E66,0)</f>
        <v>8.360639439219705</v>
      </c>
      <c r="AC66" s="150">
        <f ca="1">OFFSET(RES!AF$98,$E66,0)</f>
        <v>8.6462178764199376</v>
      </c>
      <c r="AD66" s="150">
        <f ca="1">OFFSET(RES!AG$98,$E66,0)</f>
        <v>8.9459448715442491</v>
      </c>
      <c r="AE66" s="150">
        <f ca="1">OFFSET(RES!AH$98,$E66,0)</f>
        <v>9.2407514063088971</v>
      </c>
      <c r="AF66" s="150">
        <f ca="1">OFFSET(RES!AI$98,$E66,0)</f>
        <v>9.5343660069019656</v>
      </c>
      <c r="AG66" s="150">
        <f ca="1">OFFSET(RES!AJ$98,$E66,0)</f>
        <v>9.8174230267914169</v>
      </c>
      <c r="AH66" s="150">
        <f ca="1">OFFSET(RES!AK$98,$E66,0)</f>
        <v>10.100439096619334</v>
      </c>
      <c r="AI66" s="150">
        <f ca="1">OFFSET(RES!AL$98,$E66,0)</f>
        <v>10.387738530376428</v>
      </c>
      <c r="AJ66" s="150">
        <f ca="1">OFFSET(RES!AM$98,$E66,0)</f>
        <v>12.001849676985143</v>
      </c>
      <c r="AK66" s="150">
        <f ca="1">OFFSET(RES!AN$98,$E66,0)</f>
        <v>13.553501140332305</v>
      </c>
      <c r="AL66" s="150">
        <f ca="1">OFFSET(RES!AO$98,$E66,0)</f>
        <v>13.553501140332305</v>
      </c>
      <c r="AM66" s="150">
        <f ca="1">OFFSET(RES!AP$98,$E66,0)</f>
        <v>13.553501140332305</v>
      </c>
    </row>
    <row r="67" spans="1:39">
      <c r="A67" s="36" t="s">
        <v>542</v>
      </c>
      <c r="B67">
        <v>25.581294669590001</v>
      </c>
      <c r="E67" s="153">
        <f>MATCH(F67,RES!$D$99:$D$137,0)</f>
        <v>26</v>
      </c>
      <c r="F67" s="4" t="str">
        <f t="shared" si="0"/>
        <v>RHEWG</v>
      </c>
      <c r="G67" s="150">
        <f ca="1">OFFSET(RES!J$98,$E67,0)</f>
        <v>31.741720257828536</v>
      </c>
      <c r="H67" s="150">
        <f ca="1">OFFSET(RES!K$98,$E67,0)</f>
        <v>32.208008967956879</v>
      </c>
      <c r="I67" s="150">
        <f ca="1">OFFSET(RES!L$98,$E67,0)</f>
        <v>32.674297678085217</v>
      </c>
      <c r="J67" s="150">
        <f ca="1">OFFSET(RES!M$98,$E67,0)</f>
        <v>33.140586388213556</v>
      </c>
      <c r="K67" s="150">
        <f ca="1">OFFSET(RES!N$98,$E67,0)</f>
        <v>33.606875098341902</v>
      </c>
      <c r="L67" s="150">
        <f ca="1">OFFSET(RES!O$98,$E67,0)</f>
        <v>34.073163808470241</v>
      </c>
      <c r="M67" s="150">
        <f ca="1">OFFSET(RES!P$98,$E67,0)</f>
        <v>34.929509445948547</v>
      </c>
      <c r="N67" s="150">
        <f ca="1">OFFSET(RES!Q$98,$E67,0)</f>
        <v>35.182281600072201</v>
      </c>
      <c r="O67" s="243">
        <f ca="1">OFFSET(RES!R$98,$E67,0)</f>
        <v>31.696000642819545</v>
      </c>
      <c r="P67" s="150">
        <f ca="1">OFFSET(RES!S$98,$E67,0)</f>
        <v>32.455296276647388</v>
      </c>
      <c r="Q67" s="150">
        <f ca="1">OFFSET(RES!T$98,$E67,0)</f>
        <v>33.436825217038646</v>
      </c>
      <c r="R67" s="150">
        <f ca="1">OFFSET(RES!U$98,$E67,0)</f>
        <v>34.484487979444921</v>
      </c>
      <c r="S67" s="150">
        <f ca="1">OFFSET(RES!V$98,$E67,0)</f>
        <v>35.484451382445584</v>
      </c>
      <c r="T67" s="243">
        <f ca="1">OFFSET(RES!W$98,$E67,0)</f>
        <v>36.442328939728746</v>
      </c>
      <c r="U67" s="150">
        <f ca="1">OFFSET(RES!X$98,$E67,0)</f>
        <v>37.823506398404326</v>
      </c>
      <c r="V67" s="150">
        <f ca="1">OFFSET(RES!Y$98,$E67,0)</f>
        <v>39.180977033547919</v>
      </c>
      <c r="W67" s="150">
        <f ca="1">OFFSET(RES!Z$98,$E67,0)</f>
        <v>40.591400588400035</v>
      </c>
      <c r="X67" s="150">
        <f ca="1">OFFSET(RES!AA$98,$E67,0)</f>
        <v>42.182200914580626</v>
      </c>
      <c r="Y67" s="245">
        <f ca="1">OFFSET(RES!AB$98,$E67,0)</f>
        <v>43.580311955984072</v>
      </c>
      <c r="Z67" s="150">
        <f ca="1">OFFSET(RES!AC$98,$E67,0)</f>
        <v>45.189228238368969</v>
      </c>
      <c r="AA67" s="150">
        <f ca="1">OFFSET(RES!AD$98,$E67,0)</f>
        <v>46.605920444293432</v>
      </c>
      <c r="AB67" s="150">
        <f ca="1">OFFSET(RES!AE$98,$E67,0)</f>
        <v>48.162485284105735</v>
      </c>
      <c r="AC67" s="150">
        <f ca="1">OFFSET(RES!AF$98,$E67,0)</f>
        <v>49.807594773529885</v>
      </c>
      <c r="AD67" s="150">
        <f ca="1">OFFSET(RES!AG$98,$E67,0)</f>
        <v>51.534208760039888</v>
      </c>
      <c r="AE67" s="150">
        <f ca="1">OFFSET(RES!AH$98,$E67,0)</f>
        <v>53.232477833294617</v>
      </c>
      <c r="AF67" s="150">
        <f ca="1">OFFSET(RES!AI$98,$E67,0)</f>
        <v>54.923880624081882</v>
      </c>
      <c r="AG67" s="150">
        <f ca="1">OFFSET(RES!AJ$98,$E67,0)</f>
        <v>56.554465180932574</v>
      </c>
      <c r="AH67" s="150">
        <f ca="1">OFFSET(RES!AK$98,$E67,0)</f>
        <v>58.184813839949101</v>
      </c>
      <c r="AI67" s="150">
        <f ca="1">OFFSET(RES!AL$98,$E67,0)</f>
        <v>59.839837340370416</v>
      </c>
      <c r="AJ67" s="150">
        <f ca="1">OFFSET(RES!AM$98,$E67,0)</f>
        <v>69.138121868797427</v>
      </c>
      <c r="AK67" s="150">
        <f ca="1">OFFSET(RES!AN$98,$E67,0)</f>
        <v>78.076599758294051</v>
      </c>
      <c r="AL67" s="150">
        <f ca="1">OFFSET(RES!AO$98,$E67,0)</f>
        <v>78.076599758294051</v>
      </c>
      <c r="AM67" s="150">
        <f ca="1">OFFSET(RES!AP$98,$E67,0)</f>
        <v>78.076599758294051</v>
      </c>
    </row>
    <row r="68" spans="1:39">
      <c r="A68" s="36" t="s">
        <v>368</v>
      </c>
      <c r="B68">
        <v>14.738241842140001</v>
      </c>
      <c r="E68" s="153">
        <f>MATCH(F68,RES!$D$99:$D$137,0)</f>
        <v>4</v>
      </c>
      <c r="F68" s="4" t="str">
        <f t="shared" si="0"/>
        <v>RLEH</v>
      </c>
      <c r="G68" s="150">
        <f ca="1">OFFSET(RES!J$98,$E68,0)</f>
        <v>14.601022992423397</v>
      </c>
      <c r="H68" s="150">
        <f ca="1">OFFSET(RES!K$98,$E68,0)</f>
        <v>13.891192798312483</v>
      </c>
      <c r="I68" s="150">
        <f ca="1">OFFSET(RES!L$98,$E68,0)</f>
        <v>13.181362604201567</v>
      </c>
      <c r="J68" s="150">
        <f ca="1">OFFSET(RES!M$98,$E68,0)</f>
        <v>12.471532410090653</v>
      </c>
      <c r="K68" s="150">
        <f ca="1">OFFSET(RES!N$98,$E68,0)</f>
        <v>11.761702215979739</v>
      </c>
      <c r="L68" s="150">
        <f ca="1">OFFSET(RES!O$98,$E68,0)</f>
        <v>11.051872021868823</v>
      </c>
      <c r="M68" s="150">
        <f ca="1">OFFSET(RES!P$98,$E68,0)</f>
        <v>10.999215391470331</v>
      </c>
      <c r="N68" s="150">
        <f ca="1">OFFSET(RES!Q$98,$E68,0)</f>
        <v>11.045325237320505</v>
      </c>
      <c r="O68" s="243">
        <f ca="1">OFFSET(RES!R$98,$E68,0)</f>
        <v>11.461615549823774</v>
      </c>
      <c r="P68" s="150">
        <f ca="1">OFFSET(RES!S$98,$E68,0)</f>
        <v>11.912898617164251</v>
      </c>
      <c r="Q68" s="150">
        <f ca="1">OFFSET(RES!T$98,$E68,0)</f>
        <v>11.866511202963345</v>
      </c>
      <c r="R68" s="150">
        <f ca="1">OFFSET(RES!U$98,$E68,0)</f>
        <v>11.820008932893167</v>
      </c>
      <c r="S68" s="150">
        <f ca="1">OFFSET(RES!V$98,$E68,0)</f>
        <v>11.769769061410539</v>
      </c>
      <c r="T68" s="243">
        <f ca="1">OFFSET(RES!W$98,$E68,0)</f>
        <v>11.728052452559895</v>
      </c>
      <c r="U68" s="150">
        <f ca="1">OFFSET(RES!X$98,$E68,0)</f>
        <v>11.649830819926674</v>
      </c>
      <c r="V68" s="150">
        <f ca="1">OFFSET(RES!Y$98,$E68,0)</f>
        <v>11.553385389369481</v>
      </c>
      <c r="W68" s="150">
        <f ca="1">OFFSET(RES!Z$98,$E68,0)</f>
        <v>11.453566067652522</v>
      </c>
      <c r="X68" s="150">
        <f ca="1">OFFSET(RES!AA$98,$E68,0)</f>
        <v>11.331479064281089</v>
      </c>
      <c r="Y68" s="245">
        <f ca="1">OFFSET(RES!AB$98,$E68,0)</f>
        <v>11.216326484016754</v>
      </c>
      <c r="Z68" s="150">
        <f ca="1">OFFSET(RES!AC$98,$E68,0)</f>
        <v>11.086529780420657</v>
      </c>
      <c r="AA68" s="150">
        <f ca="1">OFFSET(RES!AD$98,$E68,0)</f>
        <v>10.960346251045305</v>
      </c>
      <c r="AB68" s="150">
        <f ca="1">OFFSET(RES!AE$98,$E68,0)</f>
        <v>10.828908065650909</v>
      </c>
      <c r="AC68" s="150">
        <f ca="1">OFFSET(RES!AF$98,$E68,0)</f>
        <v>10.677963525125708</v>
      </c>
      <c r="AD68" s="150">
        <f ca="1">OFFSET(RES!AG$98,$E68,0)</f>
        <v>10.513092710451676</v>
      </c>
      <c r="AE68" s="150">
        <f ca="1">OFFSET(RES!AH$98,$E68,0)</f>
        <v>10.351074149864479</v>
      </c>
      <c r="AF68" s="150">
        <f ca="1">OFFSET(RES!AI$98,$E68,0)</f>
        <v>10.195300877168771</v>
      </c>
      <c r="AG68" s="150">
        <f ca="1">OFFSET(RES!AJ$98,$E68,0)</f>
        <v>10.045404396450651</v>
      </c>
      <c r="AH68" s="150">
        <f ca="1">OFFSET(RES!AK$98,$E68,0)</f>
        <v>9.8995900847527842</v>
      </c>
      <c r="AI68" s="150">
        <f ca="1">OFFSET(RES!AL$98,$E68,0)</f>
        <v>9.7504640954910062</v>
      </c>
      <c r="AJ68" s="150">
        <f ca="1">OFFSET(RES!AM$98,$E68,0)</f>
        <v>9.0080022569094371</v>
      </c>
      <c r="AK68" s="150">
        <f ca="1">OFFSET(RES!AN$98,$E68,0)</f>
        <v>8.2530881278346531</v>
      </c>
      <c r="AL68" s="150">
        <f ca="1">OFFSET(RES!AO$98,$E68,0)</f>
        <v>8.2530881278346531</v>
      </c>
      <c r="AM68" s="150">
        <f ca="1">OFFSET(RES!AP$98,$E68,0)</f>
        <v>8.2530881278346531</v>
      </c>
    </row>
    <row r="69" spans="1:39">
      <c r="A69" s="36" t="s">
        <v>369</v>
      </c>
      <c r="B69">
        <v>8.0953817121640004</v>
      </c>
      <c r="E69" s="153">
        <f>MATCH(F69,RES!$D$99:$D$137,0)</f>
        <v>3</v>
      </c>
      <c r="F69" s="4" t="str">
        <f t="shared" ref="F69:F131" si="1">A69</f>
        <v>RLEK</v>
      </c>
      <c r="G69" s="150">
        <f ca="1">OFFSET(RES!J$98,$E69,0)</f>
        <v>10.057098199765919</v>
      </c>
      <c r="H69" s="150">
        <f ca="1">OFFSET(RES!K$98,$E69,0)</f>
        <v>10.651583309100051</v>
      </c>
      <c r="I69" s="150">
        <f ca="1">OFFSET(RES!L$98,$E69,0)</f>
        <v>11.246068418434183</v>
      </c>
      <c r="J69" s="150">
        <f ca="1">OFFSET(RES!M$98,$E69,0)</f>
        <v>11.840553527768316</v>
      </c>
      <c r="K69" s="150">
        <f ca="1">OFFSET(RES!N$98,$E69,0)</f>
        <v>12.435038637102448</v>
      </c>
      <c r="L69" s="150">
        <f ca="1">OFFSET(RES!O$98,$E69,0)</f>
        <v>13.029523746436579</v>
      </c>
      <c r="M69" s="150">
        <f ca="1">OFFSET(RES!P$98,$E69,0)</f>
        <v>12.967444596874687</v>
      </c>
      <c r="N69" s="150">
        <f ca="1">OFFSET(RES!Q$98,$E69,0)</f>
        <v>13.021805462641188</v>
      </c>
      <c r="O69" s="243">
        <f ca="1">OFFSET(RES!R$98,$E69,0)</f>
        <v>13.512587884066265</v>
      </c>
      <c r="P69" s="150">
        <f ca="1">OFFSET(RES!S$98,$E69,0)</f>
        <v>14.044624758058513</v>
      </c>
      <c r="Q69" s="150">
        <f ca="1">OFFSET(RES!T$98,$E69,0)</f>
        <v>13.989936655113551</v>
      </c>
      <c r="R69" s="150">
        <f ca="1">OFFSET(RES!U$98,$E69,0)</f>
        <v>13.935113143680947</v>
      </c>
      <c r="S69" s="150">
        <f ca="1">OFFSET(RES!V$98,$E69,0)</f>
        <v>13.875883214379783</v>
      </c>
      <c r="T69" s="243">
        <f ca="1">OFFSET(RES!W$98,$E69,0)</f>
        <v>13.826701723265453</v>
      </c>
      <c r="U69" s="150">
        <f ca="1">OFFSET(RES!X$98,$E69,0)</f>
        <v>13.73448290116338</v>
      </c>
      <c r="V69" s="150">
        <f ca="1">OFFSET(RES!Y$98,$E69,0)</f>
        <v>13.620779265689347</v>
      </c>
      <c r="W69" s="150">
        <f ca="1">OFFSET(RES!Z$98,$E69,0)</f>
        <v>13.503098005890937</v>
      </c>
      <c r="X69" s="150">
        <f ca="1">OFFSET(RES!AA$98,$E69,0)</f>
        <v>13.359164425551633</v>
      </c>
      <c r="Y69" s="245">
        <f ca="1">OFFSET(RES!AB$98,$E69,0)</f>
        <v>13.223406132653496</v>
      </c>
      <c r="Z69" s="150">
        <f ca="1">OFFSET(RES!AC$98,$E69,0)</f>
        <v>13.070383257581462</v>
      </c>
      <c r="AA69" s="150">
        <f ca="1">OFFSET(RES!AD$98,$E69,0)</f>
        <v>12.921620107849719</v>
      </c>
      <c r="AB69" s="150">
        <f ca="1">OFFSET(RES!AE$98,$E69,0)</f>
        <v>12.766662019808519</v>
      </c>
      <c r="AC69" s="150">
        <f ca="1">OFFSET(RES!AF$98,$E69,0)</f>
        <v>12.588707056950064</v>
      </c>
      <c r="AD69" s="150">
        <f ca="1">OFFSET(RES!AG$98,$E69,0)</f>
        <v>12.394333814965455</v>
      </c>
      <c r="AE69" s="150">
        <f ca="1">OFFSET(RES!AH$98,$E69,0)</f>
        <v>12.203323217090526</v>
      </c>
      <c r="AF69" s="150">
        <f ca="1">OFFSET(RES!AI$98,$E69,0)</f>
        <v>12.019675455730939</v>
      </c>
      <c r="AG69" s="150">
        <f ca="1">OFFSET(RES!AJ$98,$E69,0)</f>
        <v>11.842956095322188</v>
      </c>
      <c r="AH69" s="150">
        <f ca="1">OFFSET(RES!AK$98,$E69,0)</f>
        <v>11.671049378244913</v>
      </c>
      <c r="AI69" s="150">
        <f ca="1">OFFSET(RES!AL$98,$E69,0)</f>
        <v>11.495238383107401</v>
      </c>
      <c r="AJ69" s="150">
        <f ca="1">OFFSET(RES!AM$98,$E69,0)</f>
        <v>10.619918424870525</v>
      </c>
      <c r="AK69" s="150">
        <f ca="1">OFFSET(RES!AN$98,$E69,0)</f>
        <v>9.7299179297655201</v>
      </c>
      <c r="AL69" s="150">
        <f ca="1">OFFSET(RES!AO$98,$E69,0)</f>
        <v>9.7299179297655201</v>
      </c>
      <c r="AM69" s="150">
        <f ca="1">OFFSET(RES!AP$98,$E69,0)</f>
        <v>9.7299179297655201</v>
      </c>
    </row>
    <row r="70" spans="1:39">
      <c r="A70" s="36" t="s">
        <v>370</v>
      </c>
      <c r="B70">
        <v>8.4652619723960001</v>
      </c>
      <c r="E70" s="153">
        <f>MATCH(F70,RES!$D$99:$D$137,0)</f>
        <v>1</v>
      </c>
      <c r="F70" s="4" t="str">
        <f t="shared" si="1"/>
        <v>RLEL</v>
      </c>
      <c r="G70" s="150">
        <f ca="1">OFFSET(RES!J$98,$E70,0)</f>
        <v>10.675790841703828</v>
      </c>
      <c r="H70" s="150">
        <f ca="1">OFFSET(RES!K$98,$E70,0)</f>
        <v>12.639010653235388</v>
      </c>
      <c r="I70" s="150">
        <f ca="1">OFFSET(RES!L$98,$E70,0)</f>
        <v>14.602230464766947</v>
      </c>
      <c r="J70" s="150">
        <f ca="1">OFFSET(RES!M$98,$E70,0)</f>
        <v>16.565450276298506</v>
      </c>
      <c r="K70" s="150">
        <f ca="1">OFFSET(RES!N$98,$E70,0)</f>
        <v>18.528670087830069</v>
      </c>
      <c r="L70" s="150">
        <f ca="1">OFFSET(RES!O$98,$E70,0)</f>
        <v>20.491889899361627</v>
      </c>
      <c r="M70" s="150">
        <f ca="1">OFFSET(RES!P$98,$E70,0)</f>
        <v>20.394256315615621</v>
      </c>
      <c r="N70" s="150">
        <f ca="1">OFFSET(RES!Q$98,$E70,0)</f>
        <v>20.47975114242583</v>
      </c>
      <c r="O70" s="243">
        <f ca="1">OFFSET(RES!R$98,$E70,0)</f>
        <v>21.251618137728347</v>
      </c>
      <c r="P70" s="150">
        <f ca="1">OFFSET(RES!S$98,$E70,0)</f>
        <v>22.088367143787096</v>
      </c>
      <c r="Q70" s="150">
        <f ca="1">OFFSET(RES!T$98,$E70,0)</f>
        <v>22.002357662077561</v>
      </c>
      <c r="R70" s="150">
        <f ca="1">OFFSET(RES!U$98,$E70,0)</f>
        <v>21.916135219720022</v>
      </c>
      <c r="S70" s="150">
        <f ca="1">OFFSET(RES!V$98,$E70,0)</f>
        <v>21.822982682942275</v>
      </c>
      <c r="T70" s="243">
        <f ca="1">OFFSET(RES!W$98,$E70,0)</f>
        <v>21.745633600917927</v>
      </c>
      <c r="U70" s="150">
        <f ca="1">OFFSET(RES!X$98,$E70,0)</f>
        <v>21.600598526272062</v>
      </c>
      <c r="V70" s="150">
        <f ca="1">OFFSET(RES!Y$98,$E70,0)</f>
        <v>21.421773695477441</v>
      </c>
      <c r="W70" s="150">
        <f ca="1">OFFSET(RES!Z$98,$E70,0)</f>
        <v>21.23669314564793</v>
      </c>
      <c r="X70" s="150">
        <f ca="1">OFFSET(RES!AA$98,$E70,0)</f>
        <v>21.01032485018812</v>
      </c>
      <c r="Y70" s="245">
        <f ca="1">OFFSET(RES!AB$98,$E70,0)</f>
        <v>20.79681405385109</v>
      </c>
      <c r="Z70" s="150">
        <f ca="1">OFFSET(RES!AC$98,$E70,0)</f>
        <v>20.556150774894522</v>
      </c>
      <c r="AA70" s="150">
        <f ca="1">OFFSET(RES!AD$98,$E70,0)</f>
        <v>20.322186882989509</v>
      </c>
      <c r="AB70" s="150">
        <f ca="1">OFFSET(RES!AE$98,$E70,0)</f>
        <v>20.078480041438659</v>
      </c>
      <c r="AC70" s="150">
        <f ca="1">OFFSET(RES!AF$98,$E70,0)</f>
        <v>19.798605383169761</v>
      </c>
      <c r="AD70" s="150">
        <f ca="1">OFFSET(RES!AG$98,$E70,0)</f>
        <v>19.492909246331305</v>
      </c>
      <c r="AE70" s="150">
        <f ca="1">OFFSET(RES!AH$98,$E70,0)</f>
        <v>19.192501632251414</v>
      </c>
      <c r="AF70" s="150">
        <f ca="1">OFFSET(RES!AI$98,$E70,0)</f>
        <v>18.903673753406331</v>
      </c>
      <c r="AG70" s="150">
        <f ca="1">OFFSET(RES!AJ$98,$E70,0)</f>
        <v>18.625742361050406</v>
      </c>
      <c r="AH70" s="150">
        <f ca="1">OFFSET(RES!AK$98,$E70,0)</f>
        <v>18.355379945058676</v>
      </c>
      <c r="AI70" s="150">
        <f ca="1">OFFSET(RES!AL$98,$E70,0)</f>
        <v>18.078877163716388</v>
      </c>
      <c r="AJ70" s="150">
        <f ca="1">OFFSET(RES!AM$98,$E70,0)</f>
        <v>16.702237421545505</v>
      </c>
      <c r="AK70" s="150">
        <f ca="1">OFFSET(RES!AN$98,$E70,0)</f>
        <v>15.302509195787682</v>
      </c>
      <c r="AL70" s="150">
        <f ca="1">OFFSET(RES!AO$98,$E70,0)</f>
        <v>15.302509195787682</v>
      </c>
      <c r="AM70" s="150">
        <f ca="1">OFFSET(RES!AP$98,$E70,0)</f>
        <v>15.302509195787682</v>
      </c>
    </row>
    <row r="71" spans="1:39">
      <c r="A71" s="36" t="s">
        <v>371</v>
      </c>
      <c r="B71">
        <v>1.2001829018570001</v>
      </c>
      <c r="E71" s="153">
        <f>MATCH(F71,RES!$D$99:$D$137,0)</f>
        <v>8</v>
      </c>
      <c r="F71" s="4" t="str">
        <f t="shared" si="1"/>
        <v>RLEO</v>
      </c>
      <c r="G71" s="150">
        <f ca="1">OFFSET(RES!J$98,$E71,0)</f>
        <v>1.9878001092508091</v>
      </c>
      <c r="H71" s="150">
        <f ca="1">OFFSET(RES!K$98,$E71,0)</f>
        <v>2.1565691406754266</v>
      </c>
      <c r="I71" s="150">
        <f ca="1">OFFSET(RES!L$98,$E71,0)</f>
        <v>2.3253381721000443</v>
      </c>
      <c r="J71" s="150">
        <f ca="1">OFFSET(RES!M$98,$E71,0)</f>
        <v>2.4941072035246621</v>
      </c>
      <c r="K71" s="150">
        <f ca="1">OFFSET(RES!N$98,$E71,0)</f>
        <v>2.6628762349492798</v>
      </c>
      <c r="L71" s="150">
        <f ca="1">OFFSET(RES!O$98,$E71,0)</f>
        <v>2.8316452663738976</v>
      </c>
      <c r="M71" s="150">
        <f ca="1">OFFSET(RES!P$98,$E71,0)</f>
        <v>2.818153896050748</v>
      </c>
      <c r="N71" s="150">
        <f ca="1">OFFSET(RES!Q$98,$E71,0)</f>
        <v>2.8299678879678201</v>
      </c>
      <c r="O71" s="243">
        <f ca="1">OFFSET(RES!R$98,$E71,0)</f>
        <v>2.9366273290565945</v>
      </c>
      <c r="P71" s="150">
        <f ca="1">OFFSET(RES!S$98,$E71,0)</f>
        <v>3.0522524067720047</v>
      </c>
      <c r="Q71" s="150">
        <f ca="1">OFFSET(RES!T$98,$E71,0)</f>
        <v>3.0403672979342073</v>
      </c>
      <c r="R71" s="150">
        <f ca="1">OFFSET(RES!U$98,$E71,0)</f>
        <v>3.0284527614050742</v>
      </c>
      <c r="S71" s="150">
        <f ca="1">OFFSET(RES!V$98,$E71,0)</f>
        <v>3.0155805987537589</v>
      </c>
      <c r="T71" s="243">
        <f ca="1">OFFSET(RES!W$98,$E71,0)</f>
        <v>3.0048922160302389</v>
      </c>
      <c r="U71" s="150">
        <f ca="1">OFFSET(RES!X$98,$E71,0)</f>
        <v>2.9848507320775099</v>
      </c>
      <c r="V71" s="150">
        <f ca="1">OFFSET(RES!Y$98,$E71,0)</f>
        <v>2.9601400544330101</v>
      </c>
      <c r="W71" s="150">
        <f ca="1">OFFSET(RES!Z$98,$E71,0)</f>
        <v>2.9345649383555541</v>
      </c>
      <c r="X71" s="150">
        <f ca="1">OFFSET(RES!AA$98,$E71,0)</f>
        <v>2.9032845286205853</v>
      </c>
      <c r="Y71" s="245">
        <f ca="1">OFFSET(RES!AB$98,$E71,0)</f>
        <v>2.8737808157499485</v>
      </c>
      <c r="Z71" s="150">
        <f ca="1">OFFSET(RES!AC$98,$E71,0)</f>
        <v>2.8405250722341386</v>
      </c>
      <c r="AA71" s="150">
        <f ca="1">OFFSET(RES!AD$98,$E71,0)</f>
        <v>2.8081950748415658</v>
      </c>
      <c r="AB71" s="150">
        <f ca="1">OFFSET(RES!AE$98,$E71,0)</f>
        <v>2.7745187605704311</v>
      </c>
      <c r="AC71" s="150">
        <f ca="1">OFFSET(RES!AF$98,$E71,0)</f>
        <v>2.7358446433876216</v>
      </c>
      <c r="AD71" s="150">
        <f ca="1">OFFSET(RES!AG$98,$E71,0)</f>
        <v>2.6936024186304817</v>
      </c>
      <c r="AE71" s="150">
        <f ca="1">OFFSET(RES!AH$98,$E71,0)</f>
        <v>2.6520909815414848</v>
      </c>
      <c r="AF71" s="150">
        <f ca="1">OFFSET(RES!AI$98,$E71,0)</f>
        <v>2.6121796751688127</v>
      </c>
      <c r="AG71" s="150">
        <f ca="1">OFFSET(RES!AJ$98,$E71,0)</f>
        <v>2.5737740856694336</v>
      </c>
      <c r="AH71" s="150">
        <f ca="1">OFFSET(RES!AK$98,$E71,0)</f>
        <v>2.5364144053662399</v>
      </c>
      <c r="AI71" s="150">
        <f ca="1">OFFSET(RES!AL$98,$E71,0)</f>
        <v>2.4982062266295633</v>
      </c>
      <c r="AJ71" s="150">
        <f ca="1">OFFSET(RES!AM$98,$E71,0)</f>
        <v>2.3079770467654939</v>
      </c>
      <c r="AK71" s="150">
        <f ca="1">OFFSET(RES!AN$98,$E71,0)</f>
        <v>2.1145574146992225</v>
      </c>
      <c r="AL71" s="150">
        <f ca="1">OFFSET(RES!AO$98,$E71,0)</f>
        <v>2.1145574146992225</v>
      </c>
      <c r="AM71" s="150">
        <f ca="1">OFFSET(RES!AP$98,$E71,0)</f>
        <v>2.1145574146992225</v>
      </c>
    </row>
    <row r="72" spans="1:39">
      <c r="A72" s="36" t="s">
        <v>372</v>
      </c>
      <c r="B72">
        <v>1.9088027674250001</v>
      </c>
      <c r="E72" s="153">
        <f>MATCH(F72,RES!$D$99:$D$137,0)</f>
        <v>7</v>
      </c>
      <c r="F72" s="4" t="str">
        <f t="shared" si="1"/>
        <v>RLER</v>
      </c>
      <c r="G72" s="150">
        <f ca="1">OFFSET(RES!J$98,$E72,0)</f>
        <v>1.4353020960038052</v>
      </c>
      <c r="H72" s="150">
        <f ca="1">OFFSET(RES!K$98,$E72,0)</f>
        <v>1.6984088756600515</v>
      </c>
      <c r="I72" s="150">
        <f ca="1">OFFSET(RES!L$98,$E72,0)</f>
        <v>1.9615156553162976</v>
      </c>
      <c r="J72" s="150">
        <f ca="1">OFFSET(RES!M$98,$E72,0)</f>
        <v>2.2246224349725439</v>
      </c>
      <c r="K72" s="150">
        <f ca="1">OFFSET(RES!N$98,$E72,0)</f>
        <v>2.4877292146287902</v>
      </c>
      <c r="L72" s="150">
        <f ca="1">OFFSET(RES!O$98,$E72,0)</f>
        <v>2.7508359942850364</v>
      </c>
      <c r="M72" s="150">
        <f ca="1">OFFSET(RES!P$98,$E72,0)</f>
        <v>2.7377296396374877</v>
      </c>
      <c r="N72" s="150">
        <f ca="1">OFFSET(RES!Q$98,$E72,0)</f>
        <v>2.7492064847732807</v>
      </c>
      <c r="O72" s="243">
        <f ca="1">OFFSET(RES!R$98,$E72,0)</f>
        <v>2.8528220870386893</v>
      </c>
      <c r="P72" s="150">
        <f ca="1">OFFSET(RES!S$98,$E72,0)</f>
        <v>2.9651474652909089</v>
      </c>
      <c r="Q72" s="150">
        <f ca="1">OFFSET(RES!T$98,$E72,0)</f>
        <v>2.9536015327635359</v>
      </c>
      <c r="R72" s="150">
        <f ca="1">OFFSET(RES!U$98,$E72,0)</f>
        <v>2.9420270123499908</v>
      </c>
      <c r="S72" s="150">
        <f ca="1">OFFSET(RES!V$98,$E72,0)</f>
        <v>2.9295221944739605</v>
      </c>
      <c r="T72" s="243">
        <f ca="1">OFFSET(RES!W$98,$E72,0)</f>
        <v>2.9191388359842141</v>
      </c>
      <c r="U72" s="150">
        <f ca="1">OFFSET(RES!X$98,$E72,0)</f>
        <v>2.8996692943397369</v>
      </c>
      <c r="V72" s="150">
        <f ca="1">OFFSET(RES!Y$98,$E72,0)</f>
        <v>2.8756638080894374</v>
      </c>
      <c r="W72" s="150">
        <f ca="1">OFFSET(RES!Z$98,$E72,0)</f>
        <v>2.8508185526828607</v>
      </c>
      <c r="X72" s="150">
        <f ca="1">OFFSET(RES!AA$98,$E72,0)</f>
        <v>2.8204308208448525</v>
      </c>
      <c r="Y72" s="245">
        <f ca="1">OFFSET(RES!AB$98,$E72,0)</f>
        <v>2.7917690826344272</v>
      </c>
      <c r="Z72" s="150">
        <f ca="1">OFFSET(RES!AC$98,$E72,0)</f>
        <v>2.7594623889371803</v>
      </c>
      <c r="AA72" s="150">
        <f ca="1">OFFSET(RES!AD$98,$E72,0)</f>
        <v>2.7280550224924007</v>
      </c>
      <c r="AB72" s="150">
        <f ca="1">OFFSET(RES!AE$98,$E72,0)</f>
        <v>2.6953397602552909</v>
      </c>
      <c r="AC72" s="150">
        <f ca="1">OFFSET(RES!AF$98,$E72,0)</f>
        <v>2.6577693220167808</v>
      </c>
      <c r="AD72" s="150">
        <f ca="1">OFFSET(RES!AG$98,$E72,0)</f>
        <v>2.6167326025800195</v>
      </c>
      <c r="AE72" s="150">
        <f ca="1">OFFSET(RES!AH$98,$E72,0)</f>
        <v>2.5764058156498404</v>
      </c>
      <c r="AF72" s="150">
        <f ca="1">OFFSET(RES!AI$98,$E72,0)</f>
        <v>2.5376334950302182</v>
      </c>
      <c r="AG72" s="150">
        <f ca="1">OFFSET(RES!AJ$98,$E72,0)</f>
        <v>2.5003239212530208</v>
      </c>
      <c r="AH72" s="150">
        <f ca="1">OFFSET(RES!AK$98,$E72,0)</f>
        <v>2.4640304085968219</v>
      </c>
      <c r="AI72" s="150">
        <f ca="1">OFFSET(RES!AL$98,$E72,0)</f>
        <v>2.4269126118893554</v>
      </c>
      <c r="AJ72" s="150">
        <f ca="1">OFFSET(RES!AM$98,$E72,0)</f>
        <v>2.2421121775455757</v>
      </c>
      <c r="AK72" s="150">
        <f ca="1">OFFSET(RES!AN$98,$E72,0)</f>
        <v>2.0542123398760741</v>
      </c>
      <c r="AL72" s="150">
        <f ca="1">OFFSET(RES!AO$98,$E72,0)</f>
        <v>2.0542123398760741</v>
      </c>
      <c r="AM72" s="150">
        <f ca="1">OFFSET(RES!AP$98,$E72,0)</f>
        <v>2.0542123398760741</v>
      </c>
    </row>
    <row r="73" spans="1:39">
      <c r="A73" s="36" t="s">
        <v>373</v>
      </c>
      <c r="B73">
        <v>7.6914136780069997</v>
      </c>
      <c r="E73" s="153">
        <f>MATCH(F73,RES!$D$99:$D$137,0)</f>
        <v>6</v>
      </c>
      <c r="F73" s="4" t="str">
        <f t="shared" si="1"/>
        <v>RLEW</v>
      </c>
      <c r="G73" s="150">
        <f ca="1">OFFSET(RES!J$98,$E73,0)</f>
        <v>5.6499455804389198</v>
      </c>
      <c r="H73" s="150">
        <f ca="1">OFFSET(RES!K$98,$E73,0)</f>
        <v>6.0252615262969664</v>
      </c>
      <c r="I73" s="150">
        <f ca="1">OFFSET(RES!L$98,$E73,0)</f>
        <v>6.400577472155013</v>
      </c>
      <c r="J73" s="150">
        <f ca="1">OFFSET(RES!M$98,$E73,0)</f>
        <v>6.7758934180130606</v>
      </c>
      <c r="K73" s="150">
        <f ca="1">OFFSET(RES!N$98,$E73,0)</f>
        <v>7.1512093638711072</v>
      </c>
      <c r="L73" s="150">
        <f ca="1">OFFSET(RES!O$98,$E73,0)</f>
        <v>7.5265253097291538</v>
      </c>
      <c r="M73" s="150">
        <f ca="1">OFFSET(RES!P$98,$E73,0)</f>
        <v>7.490665189322848</v>
      </c>
      <c r="N73" s="150">
        <f ca="1">OFFSET(RES!Q$98,$E73,0)</f>
        <v>7.5220668307038121</v>
      </c>
      <c r="O73" s="243">
        <f ca="1">OFFSET(RES!R$98,$E73,0)</f>
        <v>7.8055680843422071</v>
      </c>
      <c r="P73" s="150">
        <f ca="1">OFFSET(RES!S$98,$E73,0)</f>
        <v>8.1129000387359334</v>
      </c>
      <c r="Q73" s="150">
        <f ca="1">OFFSET(RES!T$98,$E73,0)</f>
        <v>8.0813093682734856</v>
      </c>
      <c r="R73" s="150">
        <f ca="1">OFFSET(RES!U$98,$E73,0)</f>
        <v>8.0496404788807663</v>
      </c>
      <c r="S73" s="150">
        <f ca="1">OFFSET(RES!V$98,$E73,0)</f>
        <v>8.0154262151322087</v>
      </c>
      <c r="T73" s="243">
        <f ca="1">OFFSET(RES!W$98,$E73,0)</f>
        <v>7.9870164478340397</v>
      </c>
      <c r="U73" s="150">
        <f ca="1">OFFSET(RES!X$98,$E73,0)</f>
        <v>7.9337460971986618</v>
      </c>
      <c r="V73" s="150">
        <f ca="1">OFFSET(RES!Y$98,$E73,0)</f>
        <v>7.8680650096272471</v>
      </c>
      <c r="W73" s="150">
        <f ca="1">OFFSET(RES!Z$98,$E73,0)</f>
        <v>7.8000862409791774</v>
      </c>
      <c r="X73" s="150">
        <f ca="1">OFFSET(RES!AA$98,$E73,0)</f>
        <v>7.7169427772251789</v>
      </c>
      <c r="Y73" s="245">
        <f ca="1">OFFSET(RES!AB$98,$E73,0)</f>
        <v>7.6385217813861797</v>
      </c>
      <c r="Z73" s="150">
        <f ca="1">OFFSET(RES!AC$98,$E73,0)</f>
        <v>7.5501278719378639</v>
      </c>
      <c r="AA73" s="150">
        <f ca="1">OFFSET(RES!AD$98,$E73,0)</f>
        <v>7.4641945996709325</v>
      </c>
      <c r="AB73" s="150">
        <f ca="1">OFFSET(RES!AE$98,$E73,0)</f>
        <v>7.3746828113441882</v>
      </c>
      <c r="AC73" s="150">
        <f ca="1">OFFSET(RES!AF$98,$E73,0)</f>
        <v>7.2718868413600681</v>
      </c>
      <c r="AD73" s="150">
        <f ca="1">OFFSET(RES!AG$98,$E73,0)</f>
        <v>7.1596068260808163</v>
      </c>
      <c r="AE73" s="150">
        <f ca="1">OFFSET(RES!AH$98,$E73,0)</f>
        <v>7.049269247569911</v>
      </c>
      <c r="AF73" s="150">
        <f ca="1">OFFSET(RES!AI$98,$E73,0)</f>
        <v>6.9431848233923921</v>
      </c>
      <c r="AG73" s="150">
        <f ca="1">OFFSET(RES!AJ$98,$E73,0)</f>
        <v>6.8411026011469813</v>
      </c>
      <c r="AH73" s="150">
        <f ca="1">OFFSET(RES!AK$98,$E73,0)</f>
        <v>6.7418004100482145</v>
      </c>
      <c r="AI73" s="150">
        <f ca="1">OFFSET(RES!AL$98,$E73,0)</f>
        <v>6.6402429064600232</v>
      </c>
      <c r="AJ73" s="150">
        <f ca="1">OFFSET(RES!AM$98,$E73,0)</f>
        <v>6.1346129273456533</v>
      </c>
      <c r="AK73" s="150">
        <f ca="1">OFFSET(RES!AN$98,$E73,0)</f>
        <v>5.6205027125412723</v>
      </c>
      <c r="AL73" s="150">
        <f ca="1">OFFSET(RES!AO$98,$E73,0)</f>
        <v>5.6205027125412723</v>
      </c>
      <c r="AM73" s="150">
        <f ca="1">OFFSET(RES!AP$98,$E73,0)</f>
        <v>5.6205027125412723</v>
      </c>
    </row>
    <row r="74" spans="1:39">
      <c r="A74" s="36" t="s">
        <v>374</v>
      </c>
      <c r="B74">
        <v>0.1043575899953</v>
      </c>
      <c r="E74" s="153">
        <f>MATCH(F74,RES!$D$99:$D$137,0)</f>
        <v>2</v>
      </c>
      <c r="F74" s="4" t="str">
        <f t="shared" si="1"/>
        <v>RLNL</v>
      </c>
      <c r="G74" s="150">
        <f ca="1">OFFSET(RES!J$98,$E74,0)</f>
        <v>4.742986727829742E-2</v>
      </c>
      <c r="H74" s="150">
        <f ca="1">OFFSET(RES!K$98,$E74,0)</f>
        <v>4.5818274562462187E-2</v>
      </c>
      <c r="I74" s="150">
        <f ca="1">OFFSET(RES!L$98,$E74,0)</f>
        <v>4.4206681846626947E-2</v>
      </c>
      <c r="J74" s="150">
        <f ca="1">OFFSET(RES!M$98,$E74,0)</f>
        <v>4.2595089130791713E-2</v>
      </c>
      <c r="K74" s="150">
        <f ca="1">OFFSET(RES!N$98,$E74,0)</f>
        <v>4.0983496414956473E-2</v>
      </c>
      <c r="L74" s="150">
        <f ca="1">OFFSET(RES!O$98,$E74,0)</f>
        <v>3.937190369912124E-2</v>
      </c>
      <c r="M74" s="150">
        <f ca="1">OFFSET(RES!P$98,$E74,0)</f>
        <v>3.9184316313285852E-2</v>
      </c>
      <c r="N74" s="150">
        <f ca="1">OFFSET(RES!Q$98,$E74,0)</f>
        <v>3.9348581010416078E-2</v>
      </c>
      <c r="O74" s="243">
        <f ca="1">OFFSET(RES!R$98,$E74,0)</f>
        <v>4.0831600544330687E-2</v>
      </c>
      <c r="P74" s="150">
        <f ca="1">OFFSET(RES!S$98,$E74,0)</f>
        <v>4.2439280531324307E-2</v>
      </c>
      <c r="Q74" s="150">
        <f ca="1">OFFSET(RES!T$98,$E74,0)</f>
        <v>4.2274027006748975E-2</v>
      </c>
      <c r="R74" s="150">
        <f ca="1">OFFSET(RES!U$98,$E74,0)</f>
        <v>4.2108364312196347E-2</v>
      </c>
      <c r="S74" s="150">
        <f ca="1">OFFSET(RES!V$98,$E74,0)</f>
        <v>4.192938654463297E-2</v>
      </c>
      <c r="T74" s="243">
        <f ca="1">OFFSET(RES!W$98,$E74,0)</f>
        <v>4.1780772599133834E-2</v>
      </c>
      <c r="U74" s="150">
        <f ca="1">OFFSET(RES!X$98,$E74,0)</f>
        <v>4.1502110795854787E-2</v>
      </c>
      <c r="V74" s="150">
        <f ca="1">OFFSET(RES!Y$98,$E74,0)</f>
        <v>4.1158527356180107E-2</v>
      </c>
      <c r="W74" s="150">
        <f ca="1">OFFSET(RES!Z$98,$E74,0)</f>
        <v>4.0802924548422735E-2</v>
      </c>
      <c r="X74" s="150">
        <f ca="1">OFFSET(RES!AA$98,$E74,0)</f>
        <v>4.0367993911319545E-2</v>
      </c>
      <c r="Y74" s="245">
        <f ca="1">OFFSET(RES!AB$98,$E74,0)</f>
        <v>3.9957766911594833E-2</v>
      </c>
      <c r="Z74" s="150">
        <f ca="1">OFFSET(RES!AC$98,$E74,0)</f>
        <v>3.9495370739766486E-2</v>
      </c>
      <c r="AA74" s="150">
        <f ca="1">OFFSET(RES!AD$98,$E74,0)</f>
        <v>3.9045846373473518E-2</v>
      </c>
      <c r="AB74" s="150">
        <f ca="1">OFFSET(RES!AE$98,$E74,0)</f>
        <v>3.8577602480719834E-2</v>
      </c>
      <c r="AC74" s="150">
        <f ca="1">OFFSET(RES!AF$98,$E74,0)</f>
        <v>3.8039867886824182E-2</v>
      </c>
      <c r="AD74" s="150">
        <f ca="1">OFFSET(RES!AG$98,$E74,0)</f>
        <v>3.745252143318293E-2</v>
      </c>
      <c r="AE74" s="150">
        <f ca="1">OFFSET(RES!AH$98,$E74,0)</f>
        <v>3.6875336033977524E-2</v>
      </c>
      <c r="AF74" s="150">
        <f ca="1">OFFSET(RES!AI$98,$E74,0)</f>
        <v>3.6320399252286917E-2</v>
      </c>
      <c r="AG74" s="150">
        <f ca="1">OFFSET(RES!AJ$98,$E74,0)</f>
        <v>3.5786398334433991E-2</v>
      </c>
      <c r="AH74" s="150">
        <f ca="1">OFFSET(RES!AK$98,$E74,0)</f>
        <v>3.5266939999523662E-2</v>
      </c>
      <c r="AI74" s="150">
        <f ca="1">OFFSET(RES!AL$98,$E74,0)</f>
        <v>3.4735683930268338E-2</v>
      </c>
      <c r="AJ74" s="150">
        <f ca="1">OFFSET(RES!AM$98,$E74,0)</f>
        <v>3.2090689855865093E-2</v>
      </c>
      <c r="AK74" s="150">
        <f ca="1">OFFSET(RES!AN$98,$E74,0)</f>
        <v>2.9401334936424713E-2</v>
      </c>
      <c r="AL74" s="150">
        <f ca="1">OFFSET(RES!AO$98,$E74,0)</f>
        <v>2.9401334936424713E-2</v>
      </c>
      <c r="AM74" s="150">
        <f ca="1">OFFSET(RES!AP$98,$E74,0)</f>
        <v>2.9401334936424713E-2</v>
      </c>
    </row>
    <row r="75" spans="1:39">
      <c r="A75" s="36" t="s">
        <v>375</v>
      </c>
      <c r="B75">
        <v>12.72538201427</v>
      </c>
      <c r="E75" s="153">
        <f>MATCH(F75,RES!$D$99:$D$137,0)</f>
        <v>15</v>
      </c>
      <c r="F75" s="4" t="str">
        <f t="shared" si="1"/>
        <v>RMEH</v>
      </c>
      <c r="G75" s="150">
        <f ca="1">OFFSET(RES!J$98,$E75,0)</f>
        <v>13.162628870539544</v>
      </c>
      <c r="H75" s="150">
        <f ca="1">OFFSET(RES!K$98,$E75,0)</f>
        <v>13.094413910887344</v>
      </c>
      <c r="I75" s="150">
        <f ca="1">OFFSET(RES!L$98,$E75,0)</f>
        <v>13.026198951235143</v>
      </c>
      <c r="J75" s="150">
        <f ca="1">OFFSET(RES!M$98,$E75,0)</f>
        <v>12.957983991582941</v>
      </c>
      <c r="K75" s="150">
        <f ca="1">OFFSET(RES!N$98,$E75,0)</f>
        <v>12.88976903193074</v>
      </c>
      <c r="L75" s="150">
        <f ca="1">OFFSET(RES!O$98,$E75,0)</f>
        <v>12.821554072278539</v>
      </c>
      <c r="M75" s="150">
        <f ca="1">OFFSET(RES!P$98,$E75,0)</f>
        <v>13.083281286912216</v>
      </c>
      <c r="N75" s="150">
        <f ca="1">OFFSET(RES!Q$98,$E75,0)</f>
        <v>13.334217649368343</v>
      </c>
      <c r="O75" s="243">
        <f ca="1">OFFSET(RES!R$98,$E75,0)</f>
        <v>13.954491187106205</v>
      </c>
      <c r="P75" s="150">
        <f ca="1">OFFSET(RES!S$98,$E75,0)</f>
        <v>13.349930494989721</v>
      </c>
      <c r="Q75" s="150">
        <f ca="1">OFFSET(RES!T$98,$E75,0)</f>
        <v>13.570575698487362</v>
      </c>
      <c r="R75" s="150">
        <f ca="1">OFFSET(RES!U$98,$E75,0)</f>
        <v>13.773989659772628</v>
      </c>
      <c r="S75" s="150">
        <f ca="1">OFFSET(RES!V$98,$E75,0)</f>
        <v>13.99718542833042</v>
      </c>
      <c r="T75" s="243">
        <f ca="1">OFFSET(RES!W$98,$E75,0)</f>
        <v>14.216764342087199</v>
      </c>
      <c r="U75" s="150">
        <f ca="1">OFFSET(RES!X$98,$E75,0)</f>
        <v>14.418915816319284</v>
      </c>
      <c r="V75" s="150">
        <f ca="1">OFFSET(RES!Y$98,$E75,0)</f>
        <v>14.659317236135669</v>
      </c>
      <c r="W75" s="150">
        <f ca="1">OFFSET(RES!Z$98,$E75,0)</f>
        <v>14.891921945366848</v>
      </c>
      <c r="X75" s="150">
        <f ca="1">OFFSET(RES!AA$98,$E75,0)</f>
        <v>15.114605894849024</v>
      </c>
      <c r="Y75" s="245">
        <f ca="1">OFFSET(RES!AB$98,$E75,0)</f>
        <v>15.377928278935034</v>
      </c>
      <c r="Z75" s="150">
        <f ca="1">OFFSET(RES!AC$98,$E75,0)</f>
        <v>15.594291262833364</v>
      </c>
      <c r="AA75" s="150">
        <f ca="1">OFFSET(RES!AD$98,$E75,0)</f>
        <v>15.857084767207906</v>
      </c>
      <c r="AB75" s="150">
        <f ca="1">OFFSET(RES!AE$98,$E75,0)</f>
        <v>16.090772826815808</v>
      </c>
      <c r="AC75" s="150">
        <f ca="1">OFFSET(RES!AF$98,$E75,0)</f>
        <v>16.334876404612473</v>
      </c>
      <c r="AD75" s="150">
        <f ca="1">OFFSET(RES!AG$98,$E75,0)</f>
        <v>16.581385532064534</v>
      </c>
      <c r="AE75" s="150">
        <f ca="1">OFFSET(RES!AH$98,$E75,0)</f>
        <v>16.847949436962772</v>
      </c>
      <c r="AF75" s="150">
        <f ca="1">OFFSET(RES!AI$98,$E75,0)</f>
        <v>17.10451580925066</v>
      </c>
      <c r="AG75" s="150">
        <f ca="1">OFFSET(RES!AJ$98,$E75,0)</f>
        <v>17.367334904578989</v>
      </c>
      <c r="AH75" s="150">
        <f ca="1">OFFSET(RES!AK$98,$E75,0)</f>
        <v>17.62369654923663</v>
      </c>
      <c r="AI75" s="150">
        <f ca="1">OFFSET(RES!AL$98,$E75,0)</f>
        <v>17.878420372852311</v>
      </c>
      <c r="AJ75" s="150">
        <f ca="1">OFFSET(RES!AM$98,$E75,0)</f>
        <v>19.180155418817819</v>
      </c>
      <c r="AK75" s="150">
        <f ca="1">OFFSET(RES!AN$98,$E75,0)</f>
        <v>20.514075354321587</v>
      </c>
      <c r="AL75" s="150">
        <f ca="1">OFFSET(RES!AO$98,$E75,0)</f>
        <v>20.514075354321587</v>
      </c>
      <c r="AM75" s="150">
        <f ca="1">OFFSET(RES!AP$98,$E75,0)</f>
        <v>20.514075354321587</v>
      </c>
    </row>
    <row r="76" spans="1:39">
      <c r="A76" s="36" t="s">
        <v>376</v>
      </c>
      <c r="B76">
        <v>5.0035172999329998</v>
      </c>
      <c r="E76" s="153">
        <f>MATCH(F76,RES!$D$99:$D$137,0)</f>
        <v>14</v>
      </c>
      <c r="F76" s="4" t="str">
        <f t="shared" si="1"/>
        <v>RMEK</v>
      </c>
      <c r="G76" s="150">
        <f ca="1">OFFSET(RES!J$98,$E76,0)</f>
        <v>9.0451133406280029</v>
      </c>
      <c r="H76" s="150">
        <f ca="1">OFFSET(RES!K$98,$E76,0)</f>
        <v>8.9402016286214678</v>
      </c>
      <c r="I76" s="150">
        <f ca="1">OFFSET(RES!L$98,$E76,0)</f>
        <v>8.8352899166149328</v>
      </c>
      <c r="J76" s="150">
        <f ca="1">OFFSET(RES!M$98,$E76,0)</f>
        <v>8.7303782046083978</v>
      </c>
      <c r="K76" s="150">
        <f ca="1">OFFSET(RES!N$98,$E76,0)</f>
        <v>8.6254664926018627</v>
      </c>
      <c r="L76" s="150">
        <f ca="1">OFFSET(RES!O$98,$E76,0)</f>
        <v>8.5205547805953277</v>
      </c>
      <c r="M76" s="150">
        <f ca="1">OFFSET(RES!P$98,$E76,0)</f>
        <v>8.6944854178088367</v>
      </c>
      <c r="N76" s="150">
        <f ca="1">OFFSET(RES!Q$98,$E76,0)</f>
        <v>8.861245001763919</v>
      </c>
      <c r="O76" s="243">
        <f ca="1">OFFSET(RES!R$98,$E76,0)</f>
        <v>9.2734473469286112</v>
      </c>
      <c r="P76" s="150">
        <f ca="1">OFFSET(RES!S$98,$E76,0)</f>
        <v>8.8716869623188774</v>
      </c>
      <c r="Q76" s="150">
        <f ca="1">OFFSET(RES!T$98,$E76,0)</f>
        <v>9.0183165777991139</v>
      </c>
      <c r="R76" s="150">
        <f ca="1">OFFSET(RES!U$98,$E76,0)</f>
        <v>9.1534951833330833</v>
      </c>
      <c r="S76" s="150">
        <f ca="1">OFFSET(RES!V$98,$E76,0)</f>
        <v>9.3018197750380391</v>
      </c>
      <c r="T76" s="243">
        <f ca="1">OFFSET(RES!W$98,$E76,0)</f>
        <v>9.4477407884176401</v>
      </c>
      <c r="U76" s="150">
        <f ca="1">OFFSET(RES!X$98,$E76,0)</f>
        <v>9.58208040906446</v>
      </c>
      <c r="V76" s="150">
        <f ca="1">OFFSET(RES!Y$98,$E76,0)</f>
        <v>9.7418390042652661</v>
      </c>
      <c r="W76" s="150">
        <f ca="1">OFFSET(RES!Z$98,$E76,0)</f>
        <v>9.8964163009062247</v>
      </c>
      <c r="X76" s="150">
        <f ca="1">OFFSET(RES!AA$98,$E76,0)</f>
        <v>10.044400763602876</v>
      </c>
      <c r="Y76" s="245">
        <f ca="1">OFFSET(RES!AB$98,$E76,0)</f>
        <v>10.219391469558936</v>
      </c>
      <c r="Z76" s="150">
        <f ca="1">OFFSET(RES!AC$98,$E76,0)</f>
        <v>10.363175339003021</v>
      </c>
      <c r="AA76" s="150">
        <f ca="1">OFFSET(RES!AD$98,$E76,0)</f>
        <v>10.537814578317166</v>
      </c>
      <c r="AB76" s="150">
        <f ca="1">OFFSET(RES!AE$98,$E76,0)</f>
        <v>10.693111814692374</v>
      </c>
      <c r="AC76" s="150">
        <f ca="1">OFFSET(RES!AF$98,$E76,0)</f>
        <v>10.855330676386584</v>
      </c>
      <c r="AD76" s="150">
        <f ca="1">OFFSET(RES!AG$98,$E76,0)</f>
        <v>11.01914814441983</v>
      </c>
      <c r="AE76" s="150">
        <f ca="1">OFFSET(RES!AH$98,$E76,0)</f>
        <v>11.19629300076182</v>
      </c>
      <c r="AF76" s="150">
        <f ca="1">OFFSET(RES!AI$98,$E76,0)</f>
        <v>11.366794003808254</v>
      </c>
      <c r="AG76" s="150">
        <f ca="1">OFFSET(RES!AJ$98,$E76,0)</f>
        <v>11.541450249572817</v>
      </c>
      <c r="AH76" s="150">
        <f ca="1">OFFSET(RES!AK$98,$E76,0)</f>
        <v>11.711815201015927</v>
      </c>
      <c r="AI76" s="150">
        <f ca="1">OFFSET(RES!AL$98,$E76,0)</f>
        <v>11.881091739632465</v>
      </c>
      <c r="AJ76" s="150">
        <f ca="1">OFFSET(RES!AM$98,$E76,0)</f>
        <v>12.746158852904701</v>
      </c>
      <c r="AK76" s="150">
        <f ca="1">OFFSET(RES!AN$98,$E76,0)</f>
        <v>13.632614411982511</v>
      </c>
      <c r="AL76" s="150">
        <f ca="1">OFFSET(RES!AO$98,$E76,0)</f>
        <v>13.632614411982511</v>
      </c>
      <c r="AM76" s="150">
        <f ca="1">OFFSET(RES!AP$98,$E76,0)</f>
        <v>13.632614411982511</v>
      </c>
    </row>
    <row r="77" spans="1:39">
      <c r="A77" s="36" t="s">
        <v>377</v>
      </c>
      <c r="B77">
        <v>15.793352715539999</v>
      </c>
      <c r="E77" s="153">
        <f>MATCH(F77,RES!$D$99:$D$137,0)</f>
        <v>12</v>
      </c>
      <c r="F77" s="4" t="str">
        <f t="shared" si="1"/>
        <v>RMEL</v>
      </c>
      <c r="G77" s="150">
        <f ca="1">OFFSET(RES!J$98,$E77,0)</f>
        <v>16.048248534198041</v>
      </c>
      <c r="H77" s="150">
        <f ca="1">OFFSET(RES!K$98,$E77,0)</f>
        <v>17.585213087537426</v>
      </c>
      <c r="I77" s="150">
        <f ca="1">OFFSET(RES!L$98,$E77,0)</f>
        <v>19.12217764087681</v>
      </c>
      <c r="J77" s="150">
        <f ca="1">OFFSET(RES!M$98,$E77,0)</f>
        <v>20.659142194216194</v>
      </c>
      <c r="K77" s="150">
        <f ca="1">OFFSET(RES!N$98,$E77,0)</f>
        <v>22.196106747555582</v>
      </c>
      <c r="L77" s="150">
        <f ca="1">OFFSET(RES!O$98,$E77,0)</f>
        <v>23.733071300894967</v>
      </c>
      <c r="M77" s="150">
        <f ca="1">OFFSET(RES!P$98,$E77,0)</f>
        <v>24.217536024224859</v>
      </c>
      <c r="N77" s="150">
        <f ca="1">OFFSET(RES!Q$98,$E77,0)</f>
        <v>24.682026564808769</v>
      </c>
      <c r="O77" s="243">
        <f ca="1">OFFSET(RES!R$98,$E77,0)</f>
        <v>25.830171010809998</v>
      </c>
      <c r="P77" s="150">
        <f ca="1">OFFSET(RES!S$98,$E77,0)</f>
        <v>24.711111501265762</v>
      </c>
      <c r="Q77" s="150">
        <f ca="1">OFFSET(RES!T$98,$E77,0)</f>
        <v>25.119532221350859</v>
      </c>
      <c r="R77" s="150">
        <f ca="1">OFFSET(RES!U$98,$E77,0)</f>
        <v>25.496057408513508</v>
      </c>
      <c r="S77" s="150">
        <f ca="1">OFFSET(RES!V$98,$E77,0)</f>
        <v>25.90919929906584</v>
      </c>
      <c r="T77" s="243">
        <f ca="1">OFFSET(RES!W$98,$E77,0)</f>
        <v>26.315646285678014</v>
      </c>
      <c r="U77" s="150">
        <f ca="1">OFFSET(RES!X$98,$E77,0)</f>
        <v>26.689834572408728</v>
      </c>
      <c r="V77" s="150">
        <f ca="1">OFFSET(RES!Y$98,$E77,0)</f>
        <v>27.134824626280153</v>
      </c>
      <c r="W77" s="150">
        <f ca="1">OFFSET(RES!Z$98,$E77,0)</f>
        <v>27.565382740997556</v>
      </c>
      <c r="X77" s="150">
        <f ca="1">OFFSET(RES!AA$98,$E77,0)</f>
        <v>27.977577239482887</v>
      </c>
      <c r="Y77" s="245">
        <f ca="1">OFFSET(RES!AB$98,$E77,0)</f>
        <v>28.464994668088273</v>
      </c>
      <c r="Z77" s="150">
        <f ca="1">OFFSET(RES!AC$98,$E77,0)</f>
        <v>28.865488874546113</v>
      </c>
      <c r="AA77" s="150">
        <f ca="1">OFFSET(RES!AD$98,$E77,0)</f>
        <v>29.351927331348932</v>
      </c>
      <c r="AB77" s="150">
        <f ca="1">OFFSET(RES!AE$98,$E77,0)</f>
        <v>29.784490759274835</v>
      </c>
      <c r="AC77" s="150">
        <f ca="1">OFFSET(RES!AF$98,$E77,0)</f>
        <v>30.236333615764245</v>
      </c>
      <c r="AD77" s="150">
        <f ca="1">OFFSET(RES!AG$98,$E77,0)</f>
        <v>30.69262921496858</v>
      </c>
      <c r="AE77" s="150">
        <f ca="1">OFFSET(RES!AH$98,$E77,0)</f>
        <v>31.186046793331649</v>
      </c>
      <c r="AF77" s="150">
        <f ca="1">OFFSET(RES!AI$98,$E77,0)</f>
        <v>31.660958646652588</v>
      </c>
      <c r="AG77" s="150">
        <f ca="1">OFFSET(RES!AJ$98,$E77,0)</f>
        <v>32.147444473058762</v>
      </c>
      <c r="AH77" s="150">
        <f ca="1">OFFSET(RES!AK$98,$E77,0)</f>
        <v>32.621977369552901</v>
      </c>
      <c r="AI77" s="150">
        <f ca="1">OFFSET(RES!AL$98,$E77,0)</f>
        <v>33.093478611432637</v>
      </c>
      <c r="AJ77" s="150">
        <f ca="1">OFFSET(RES!AM$98,$E77,0)</f>
        <v>35.503028225045341</v>
      </c>
      <c r="AK77" s="150">
        <f ca="1">OFFSET(RES!AN$98,$E77,0)</f>
        <v>37.972153009804771</v>
      </c>
      <c r="AL77" s="150">
        <f ca="1">OFFSET(RES!AO$98,$E77,0)</f>
        <v>37.972153009804771</v>
      </c>
      <c r="AM77" s="150">
        <f ca="1">OFFSET(RES!AP$98,$E77,0)</f>
        <v>37.972153009804771</v>
      </c>
    </row>
    <row r="78" spans="1:39">
      <c r="A78" s="36" t="s">
        <v>378</v>
      </c>
      <c r="B78">
        <v>8.1991938940679994</v>
      </c>
      <c r="E78" s="153">
        <f>MATCH(F78,RES!$D$99:$D$137,0)</f>
        <v>19</v>
      </c>
      <c r="F78" s="4" t="str">
        <f t="shared" si="1"/>
        <v>RMEO</v>
      </c>
      <c r="G78" s="150">
        <f ca="1">OFFSET(RES!J$98,$E78,0)</f>
        <v>5.8181446629629967</v>
      </c>
      <c r="H78" s="150">
        <f ca="1">OFFSET(RES!K$98,$E78,0)</f>
        <v>6.4084282360981142</v>
      </c>
      <c r="I78" s="150">
        <f ca="1">OFFSET(RES!L$98,$E78,0)</f>
        <v>6.9987118092332326</v>
      </c>
      <c r="J78" s="150">
        <f ca="1">OFFSET(RES!M$98,$E78,0)</f>
        <v>7.58899538236835</v>
      </c>
      <c r="K78" s="150">
        <f ca="1">OFFSET(RES!N$98,$E78,0)</f>
        <v>8.1792789555034684</v>
      </c>
      <c r="L78" s="150">
        <f ca="1">OFFSET(RES!O$98,$E78,0)</f>
        <v>8.7695625286385859</v>
      </c>
      <c r="M78" s="150">
        <f ca="1">OFFSET(RES!P$98,$E78,0)</f>
        <v>8.948576177158694</v>
      </c>
      <c r="N78" s="150">
        <f ca="1">OFFSET(RES!Q$98,$E78,0)</f>
        <v>9.1202092029886934</v>
      </c>
      <c r="O78" s="243">
        <f ca="1">OFFSET(RES!R$98,$E78,0)</f>
        <v>9.5444578972879945</v>
      </c>
      <c r="P78" s="150">
        <f ca="1">OFFSET(RES!S$98,$E78,0)</f>
        <v>9.1309563231429856</v>
      </c>
      <c r="Q78" s="150">
        <f ca="1">OFFSET(RES!T$98,$E78,0)</f>
        <v>9.2818710950816179</v>
      </c>
      <c r="R78" s="150">
        <f ca="1">OFFSET(RES!U$98,$E78,0)</f>
        <v>9.4210002086534335</v>
      </c>
      <c r="S78" s="150">
        <f ca="1">OFFSET(RES!V$98,$E78,0)</f>
        <v>9.5736594914097282</v>
      </c>
      <c r="T78" s="243">
        <f ca="1">OFFSET(RES!W$98,$E78,0)</f>
        <v>9.7238449528058606</v>
      </c>
      <c r="U78" s="150">
        <f ca="1">OFFSET(RES!X$98,$E78,0)</f>
        <v>9.8621105626953565</v>
      </c>
      <c r="V78" s="150">
        <f ca="1">OFFSET(RES!Y$98,$E78,0)</f>
        <v>10.026538000365447</v>
      </c>
      <c r="W78" s="150">
        <f ca="1">OFFSET(RES!Z$98,$E78,0)</f>
        <v>10.185632719348769</v>
      </c>
      <c r="X78" s="150">
        <f ca="1">OFFSET(RES!AA$98,$E78,0)</f>
        <v>10.337941933044664</v>
      </c>
      <c r="Y78" s="245">
        <f ca="1">OFFSET(RES!AB$98,$E78,0)</f>
        <v>10.518046630136354</v>
      </c>
      <c r="Z78" s="150">
        <f ca="1">OFFSET(RES!AC$98,$E78,0)</f>
        <v>10.666032490936303</v>
      </c>
      <c r="AA78" s="150">
        <f ca="1">OFFSET(RES!AD$98,$E78,0)</f>
        <v>10.845775449998913</v>
      </c>
      <c r="AB78" s="150">
        <f ca="1">OFFSET(RES!AE$98,$E78,0)</f>
        <v>11.005611148493418</v>
      </c>
      <c r="AC78" s="150">
        <f ca="1">OFFSET(RES!AF$98,$E78,0)</f>
        <v>11.17257075236707</v>
      </c>
      <c r="AD78" s="150">
        <f ca="1">OFFSET(RES!AG$98,$E78,0)</f>
        <v>11.341175680824607</v>
      </c>
      <c r="AE78" s="150">
        <f ca="1">OFFSET(RES!AH$98,$E78,0)</f>
        <v>11.523497481965498</v>
      </c>
      <c r="AF78" s="150">
        <f ca="1">OFFSET(RES!AI$98,$E78,0)</f>
        <v>11.698981267459901</v>
      </c>
      <c r="AG78" s="150">
        <f ca="1">OFFSET(RES!AJ$98,$E78,0)</f>
        <v>11.878741729975534</v>
      </c>
      <c r="AH78" s="150">
        <f ca="1">OFFSET(RES!AK$98,$E78,0)</f>
        <v>12.054085487845775</v>
      </c>
      <c r="AI78" s="150">
        <f ca="1">OFFSET(RES!AL$98,$E78,0)</f>
        <v>12.228309024722739</v>
      </c>
      <c r="AJ78" s="150">
        <f ca="1">OFFSET(RES!AM$98,$E78,0)</f>
        <v>13.118657169492215</v>
      </c>
      <c r="AK78" s="150">
        <f ca="1">OFFSET(RES!AN$98,$E78,0)</f>
        <v>14.031018823676542</v>
      </c>
      <c r="AL78" s="150">
        <f ca="1">OFFSET(RES!AO$98,$E78,0)</f>
        <v>14.031018823676542</v>
      </c>
      <c r="AM78" s="150">
        <f ca="1">OFFSET(RES!AP$98,$E78,0)</f>
        <v>14.031018823676542</v>
      </c>
    </row>
    <row r="79" spans="1:39">
      <c r="A79" s="36" t="s">
        <v>379</v>
      </c>
      <c r="B79">
        <v>3.5984677195130002</v>
      </c>
      <c r="E79" s="153">
        <f>MATCH(F79,RES!$D$99:$D$137,0)</f>
        <v>18</v>
      </c>
      <c r="F79" s="4" t="str">
        <f t="shared" si="1"/>
        <v>RMER</v>
      </c>
      <c r="G79" s="150">
        <f ca="1">OFFSET(RES!J$98,$E79,0)</f>
        <v>3.2557540936677181</v>
      </c>
      <c r="H79" s="150">
        <f ca="1">OFFSET(RES!K$98,$E79,0)</f>
        <v>3.5369252230832862</v>
      </c>
      <c r="I79" s="150">
        <f ca="1">OFFSET(RES!L$98,$E79,0)</f>
        <v>3.8180963524988547</v>
      </c>
      <c r="J79" s="150">
        <f ca="1">OFFSET(RES!M$98,$E79,0)</f>
        <v>4.0992674819144233</v>
      </c>
      <c r="K79" s="150">
        <f ca="1">OFFSET(RES!N$98,$E79,0)</f>
        <v>4.3804386113299909</v>
      </c>
      <c r="L79" s="150">
        <f ca="1">OFFSET(RES!O$98,$E79,0)</f>
        <v>4.6616097407455594</v>
      </c>
      <c r="M79" s="150">
        <f ca="1">OFFSET(RES!P$98,$E79,0)</f>
        <v>4.756767482644606</v>
      </c>
      <c r="N79" s="150">
        <f ca="1">OFFSET(RES!Q$98,$E79,0)</f>
        <v>4.8480019293379195</v>
      </c>
      <c r="O79" s="243">
        <f ca="1">OFFSET(RES!R$98,$E79,0)</f>
        <v>5.073518520317883</v>
      </c>
      <c r="P79" s="150">
        <f ca="1">OFFSET(RES!S$98,$E79,0)</f>
        <v>4.8537147433845265</v>
      </c>
      <c r="Q79" s="150">
        <f ca="1">OFFSET(RES!T$98,$E79,0)</f>
        <v>4.9339360507295735</v>
      </c>
      <c r="R79" s="150">
        <f ca="1">OFFSET(RES!U$98,$E79,0)</f>
        <v>5.0078924914219867</v>
      </c>
      <c r="S79" s="150">
        <f ca="1">OFFSET(RES!V$98,$E79,0)</f>
        <v>5.0890411230883892</v>
      </c>
      <c r="T79" s="243">
        <f ca="1">OFFSET(RES!W$98,$E79,0)</f>
        <v>5.1688747530415657</v>
      </c>
      <c r="U79" s="150">
        <f ca="1">OFFSET(RES!X$98,$E79,0)</f>
        <v>5.2423721837020052</v>
      </c>
      <c r="V79" s="150">
        <f ca="1">OFFSET(RES!Y$98,$E79,0)</f>
        <v>5.3297763777636353</v>
      </c>
      <c r="W79" s="150">
        <f ca="1">OFFSET(RES!Z$98,$E79,0)</f>
        <v>5.414345874735905</v>
      </c>
      <c r="X79" s="150">
        <f ca="1">OFFSET(RES!AA$98,$E79,0)</f>
        <v>5.4953084212542098</v>
      </c>
      <c r="Y79" s="245">
        <f ca="1">OFFSET(RES!AB$98,$E79,0)</f>
        <v>5.5910461285314952</v>
      </c>
      <c r="Z79" s="150">
        <f ca="1">OFFSET(RES!AC$98,$E79,0)</f>
        <v>5.6697105234707896</v>
      </c>
      <c r="AA79" s="150">
        <f ca="1">OFFSET(RES!AD$98,$E79,0)</f>
        <v>5.7652559427617076</v>
      </c>
      <c r="AB79" s="150">
        <f ca="1">OFFSET(RES!AE$98,$E79,0)</f>
        <v>5.8502193199641193</v>
      </c>
      <c r="AC79" s="150">
        <f ca="1">OFFSET(RES!AF$98,$E79,0)</f>
        <v>5.9389695299303238</v>
      </c>
      <c r="AD79" s="150">
        <f ca="1">OFFSET(RES!AG$98,$E79,0)</f>
        <v>6.0285943400925914</v>
      </c>
      <c r="AE79" s="150">
        <f ca="1">OFFSET(RES!AH$98,$E79,0)</f>
        <v>6.1255105866411634</v>
      </c>
      <c r="AF79" s="150">
        <f ca="1">OFFSET(RES!AI$98,$E79,0)</f>
        <v>6.2187919699635543</v>
      </c>
      <c r="AG79" s="150">
        <f ca="1">OFFSET(RES!AJ$98,$E79,0)</f>
        <v>6.3143466935118786</v>
      </c>
      <c r="AH79" s="150">
        <f ca="1">OFFSET(RES!AK$98,$E79,0)</f>
        <v>6.4075536427750297</v>
      </c>
      <c r="AI79" s="150">
        <f ca="1">OFFSET(RES!AL$98,$E79,0)</f>
        <v>6.5001651195642696</v>
      </c>
      <c r="AJ79" s="150">
        <f ca="1">OFFSET(RES!AM$98,$E79,0)</f>
        <v>6.9734447809793139</v>
      </c>
      <c r="AK79" s="150">
        <f ca="1">OFFSET(RES!AN$98,$E79,0)</f>
        <v>7.4584260967905891</v>
      </c>
      <c r="AL79" s="150">
        <f ca="1">OFFSET(RES!AO$98,$E79,0)</f>
        <v>7.4584260967905891</v>
      </c>
      <c r="AM79" s="150">
        <f ca="1">OFFSET(RES!AP$98,$E79,0)</f>
        <v>7.4584260967905891</v>
      </c>
    </row>
    <row r="80" spans="1:39">
      <c r="A80" s="36" t="s">
        <v>380</v>
      </c>
      <c r="B80">
        <v>16.347656033450001</v>
      </c>
      <c r="E80" s="153">
        <f>MATCH(F80,RES!$D$99:$D$137,0)</f>
        <v>17</v>
      </c>
      <c r="F80" s="4" t="str">
        <f t="shared" si="1"/>
        <v>RMEW</v>
      </c>
      <c r="G80" s="150">
        <f ca="1">OFFSET(RES!J$98,$E80,0)</f>
        <v>6.0852758810873713</v>
      </c>
      <c r="H80" s="150">
        <f ca="1">OFFSET(RES!K$98,$E80,0)</f>
        <v>5.8917973817997336</v>
      </c>
      <c r="I80" s="150">
        <f ca="1">OFFSET(RES!L$98,$E80,0)</f>
        <v>5.6983188825120958</v>
      </c>
      <c r="J80" s="150">
        <f ca="1">OFFSET(RES!M$98,$E80,0)</f>
        <v>5.5048403832244572</v>
      </c>
      <c r="K80" s="150">
        <f ca="1">OFFSET(RES!N$98,$E80,0)</f>
        <v>5.3113618839368195</v>
      </c>
      <c r="L80" s="150">
        <f ca="1">OFFSET(RES!O$98,$E80,0)</f>
        <v>5.1178833846491818</v>
      </c>
      <c r="M80" s="150">
        <f ca="1">OFFSET(RES!P$98,$E80,0)</f>
        <v>5.2223550700262535</v>
      </c>
      <c r="N80" s="150">
        <f ca="1">OFFSET(RES!Q$98,$E80,0)</f>
        <v>5.3225194520332071</v>
      </c>
      <c r="O80" s="243">
        <f ca="1">OFFSET(RES!R$98,$E80,0)</f>
        <v>5.5701093787168787</v>
      </c>
      <c r="P80" s="150">
        <f ca="1">OFFSET(RES!S$98,$E80,0)</f>
        <v>5.3287914305373638</v>
      </c>
      <c r="Q80" s="150">
        <f ca="1">OFFSET(RES!T$98,$E80,0)</f>
        <v>5.4168647182618708</v>
      </c>
      <c r="R80" s="150">
        <f ca="1">OFFSET(RES!U$98,$E80,0)</f>
        <v>5.4980599405257919</v>
      </c>
      <c r="S80" s="150">
        <f ca="1">OFFSET(RES!V$98,$E80,0)</f>
        <v>5.5871513181377823</v>
      </c>
      <c r="T80" s="243">
        <f ca="1">OFFSET(RES!W$98,$E80,0)</f>
        <v>5.6747989829996301</v>
      </c>
      <c r="U80" s="150">
        <f ca="1">OFFSET(RES!X$98,$E80,0)</f>
        <v>5.7554902677941628</v>
      </c>
      <c r="V80" s="150">
        <f ca="1">OFFSET(RES!Y$98,$E80,0)</f>
        <v>5.8514494959180361</v>
      </c>
      <c r="W80" s="150">
        <f ca="1">OFFSET(RES!Z$98,$E80,0)</f>
        <v>5.9442965696701373</v>
      </c>
      <c r="X80" s="150">
        <f ca="1">OFFSET(RES!AA$98,$E80,0)</f>
        <v>6.0331836483080519</v>
      </c>
      <c r="Y80" s="245">
        <f ca="1">OFFSET(RES!AB$98,$E80,0)</f>
        <v>6.1382920654876632</v>
      </c>
      <c r="Z80" s="150">
        <f ca="1">OFFSET(RES!AC$98,$E80,0)</f>
        <v>6.224656051795729</v>
      </c>
      <c r="AA80" s="150">
        <f ca="1">OFFSET(RES!AD$98,$E80,0)</f>
        <v>6.3295533600354617</v>
      </c>
      <c r="AB80" s="150">
        <f ca="1">OFFSET(RES!AE$98,$E80,0)</f>
        <v>6.4228328666160275</v>
      </c>
      <c r="AC80" s="150">
        <f ca="1">OFFSET(RES!AF$98,$E80,0)</f>
        <v>6.5202698573190547</v>
      </c>
      <c r="AD80" s="150">
        <f ca="1">OFFSET(RES!AG$98,$E80,0)</f>
        <v>6.6186670532002445</v>
      </c>
      <c r="AE80" s="150">
        <f ca="1">OFFSET(RES!AH$98,$E80,0)</f>
        <v>6.7250693638823416</v>
      </c>
      <c r="AF80" s="150">
        <f ca="1">OFFSET(RES!AI$98,$E80,0)</f>
        <v>6.8274810346041388</v>
      </c>
      <c r="AG80" s="150">
        <f ca="1">OFFSET(RES!AJ$98,$E80,0)</f>
        <v>6.932388557792577</v>
      </c>
      <c r="AH80" s="150">
        <f ca="1">OFFSET(RES!AK$98,$E80,0)</f>
        <v>7.034718508924743</v>
      </c>
      <c r="AI80" s="150">
        <f ca="1">OFFSET(RES!AL$98,$E80,0)</f>
        <v>7.1363947033398656</v>
      </c>
      <c r="AJ80" s="150">
        <f ca="1">OFFSET(RES!AM$98,$E80,0)</f>
        <v>7.6559984990580912</v>
      </c>
      <c r="AK80" s="150">
        <f ca="1">OFFSET(RES!AN$98,$E80,0)</f>
        <v>8.1884492952628474</v>
      </c>
      <c r="AL80" s="150">
        <f ca="1">OFFSET(RES!AO$98,$E80,0)</f>
        <v>8.1884492952628474</v>
      </c>
      <c r="AM80" s="150">
        <f ca="1">OFFSET(RES!AP$98,$E80,0)</f>
        <v>8.1884492952628474</v>
      </c>
    </row>
    <row r="81" spans="1:39" s="225" customFormat="1">
      <c r="A81" s="36" t="s">
        <v>570</v>
      </c>
      <c r="B81" s="225">
        <v>17.347656033450001</v>
      </c>
      <c r="E81" s="153">
        <f>MATCH(F81,RES!$D$99:$D$137,0)</f>
        <v>16</v>
      </c>
      <c r="F81" s="225" t="str">
        <f>A81</f>
        <v>RMEWG</v>
      </c>
      <c r="G81" s="150">
        <f ca="1">OFFSET(RES!J$98,$E81,0)</f>
        <v>8.7188154069192709</v>
      </c>
      <c r="H81" s="150">
        <f ca="1">OFFSET(RES!K$98,$E81,0)</f>
        <v>9.2405614732838561</v>
      </c>
      <c r="I81" s="150">
        <f ca="1">OFFSET(RES!L$98,$E81,0)</f>
        <v>9.7623075396484413</v>
      </c>
      <c r="J81" s="150">
        <f ca="1">OFFSET(RES!M$98,$E81,0)</f>
        <v>10.284053606013025</v>
      </c>
      <c r="K81" s="150">
        <f ca="1">OFFSET(RES!N$98,$E81,0)</f>
        <v>10.80579967237761</v>
      </c>
      <c r="L81" s="150">
        <f ca="1">OFFSET(RES!O$98,$E81,0)</f>
        <v>11.327545738742195</v>
      </c>
      <c r="M81" s="150">
        <f ca="1">OFFSET(RES!P$98,$E81,0)</f>
        <v>11.558775664391113</v>
      </c>
      <c r="N81" s="150">
        <f ca="1">OFFSET(RES!Q$98,$E81,0)</f>
        <v>11.780472122340864</v>
      </c>
      <c r="O81" s="243">
        <f ca="1">OFFSET(RES!R$98,$E81,0)</f>
        <v>12.328469411097643</v>
      </c>
      <c r="P81" s="150">
        <f ca="1">OFFSET(RES!S$98,$E81,0)</f>
        <v>11.794354057124947</v>
      </c>
      <c r="Q81" s="150">
        <f ca="1">OFFSET(RES!T$98,$E81,0)</f>
        <v>11.989288978474105</v>
      </c>
      <c r="R81" s="150">
        <f ca="1">OFFSET(RES!U$98,$E81,0)</f>
        <v>12.169000496857002</v>
      </c>
      <c r="S81" s="150">
        <f ca="1">OFFSET(RES!V$98,$E81,0)</f>
        <v>12.366188783298695</v>
      </c>
      <c r="T81" s="243">
        <f ca="1">OFFSET(RES!W$98,$E81,0)</f>
        <v>12.560181662385091</v>
      </c>
      <c r="U81" s="150">
        <f ca="1">OFFSET(RES!X$98,$E81,0)</f>
        <v>12.738777802728878</v>
      </c>
      <c r="V81" s="150">
        <f ca="1">OFFSET(RES!Y$98,$E81,0)</f>
        <v>12.951166883122525</v>
      </c>
      <c r="W81" s="150">
        <f ca="1">OFFSET(RES!Z$98,$E81,0)</f>
        <v>13.156667750490842</v>
      </c>
      <c r="X81" s="150">
        <f ca="1">OFFSET(RES!AA$98,$E81,0)</f>
        <v>13.353403856646407</v>
      </c>
      <c r="Y81" s="245">
        <f ca="1">OFFSET(RES!AB$98,$E81,0)</f>
        <v>13.58604307752042</v>
      </c>
      <c r="Z81" s="150">
        <f ca="1">OFFSET(RES!AC$98,$E81,0)</f>
        <v>13.777194757142322</v>
      </c>
      <c r="AA81" s="150">
        <f ca="1">OFFSET(RES!AD$98,$E81,0)</f>
        <v>14.009366725054006</v>
      </c>
      <c r="AB81" s="150">
        <f ca="1">OFFSET(RES!AE$98,$E81,0)</f>
        <v>14.215824707361293</v>
      </c>
      <c r="AC81" s="150">
        <f ca="1">OFFSET(RES!AF$98,$E81,0)</f>
        <v>14.431484558491253</v>
      </c>
      <c r="AD81" s="150">
        <f ca="1">OFFSET(RES!AG$98,$E81,0)</f>
        <v>14.649269656966011</v>
      </c>
      <c r="AE81" s="150">
        <f ca="1">OFFSET(RES!AH$98,$E81,0)</f>
        <v>14.884772686318824</v>
      </c>
      <c r="AF81" s="150">
        <f ca="1">OFFSET(RES!AI$98,$E81,0)</f>
        <v>15.111443127415965</v>
      </c>
      <c r="AG81" s="150">
        <f ca="1">OFFSET(RES!AJ$98,$E81,0)</f>
        <v>15.34363770434196</v>
      </c>
      <c r="AH81" s="150">
        <f ca="1">OFFSET(RES!AK$98,$E81,0)</f>
        <v>15.570127273324649</v>
      </c>
      <c r="AI81" s="150">
        <f ca="1">OFFSET(RES!AL$98,$E81,0)</f>
        <v>15.795169865391738</v>
      </c>
      <c r="AJ81" s="150">
        <f ca="1">OFFSET(RES!AM$98,$E81,0)</f>
        <v>16.945222596111726</v>
      </c>
      <c r="AK81" s="150">
        <f ca="1">OFFSET(RES!AN$98,$E81,0)</f>
        <v>18.123709930490978</v>
      </c>
      <c r="AL81" s="150">
        <f ca="1">OFFSET(RES!AO$98,$E81,0)</f>
        <v>18.123709930490978</v>
      </c>
      <c r="AM81" s="150">
        <f ca="1">OFFSET(RES!AP$98,$E81,0)</f>
        <v>18.123709930490978</v>
      </c>
    </row>
    <row r="82" spans="1:39">
      <c r="A82" s="36" t="s">
        <v>381</v>
      </c>
      <c r="B82">
        <v>0.2282739655271</v>
      </c>
      <c r="E82" s="153">
        <f>MATCH(F82,RES!$D$99:$D$137,0)</f>
        <v>13</v>
      </c>
      <c r="F82" s="4" t="str">
        <f t="shared" si="1"/>
        <v>RMNL</v>
      </c>
      <c r="G82" s="150">
        <f ca="1">OFFSET(RES!J$98,$E82,0)</f>
        <v>3.3422499241462768E-2</v>
      </c>
      <c r="H82" s="150">
        <f ca="1">OFFSET(RES!K$98,$E82,0)</f>
        <v>4.0702012494378374E-2</v>
      </c>
      <c r="I82" s="150">
        <f ca="1">OFFSET(RES!L$98,$E82,0)</f>
        <v>4.7981525747293988E-2</v>
      </c>
      <c r="J82" s="150">
        <f ca="1">OFFSET(RES!M$98,$E82,0)</f>
        <v>5.5261039000209594E-2</v>
      </c>
      <c r="K82" s="150">
        <f ca="1">OFFSET(RES!N$98,$E82,0)</f>
        <v>6.2540552253125201E-2</v>
      </c>
      <c r="L82" s="150">
        <f ca="1">OFFSET(RES!O$98,$E82,0)</f>
        <v>6.9820065506040807E-2</v>
      </c>
      <c r="M82" s="150">
        <f ca="1">OFFSET(RES!P$98,$E82,0)</f>
        <v>7.1245307030385091E-2</v>
      </c>
      <c r="N82" s="150">
        <f ca="1">OFFSET(RES!Q$98,$E82,0)</f>
        <v>7.261178672276615E-2</v>
      </c>
      <c r="O82" s="243">
        <f ca="1">OFFSET(RES!R$98,$E82,0)</f>
        <v>7.5989500437685972E-2</v>
      </c>
      <c r="P82" s="150">
        <f ca="1">OFFSET(RES!S$98,$E82,0)</f>
        <v>7.2697351382431163E-2</v>
      </c>
      <c r="Q82" s="150">
        <f ca="1">OFFSET(RES!T$98,$E82,0)</f>
        <v>7.3898879876945503E-2</v>
      </c>
      <c r="R82" s="150">
        <f ca="1">OFFSET(RES!U$98,$E82,0)</f>
        <v>7.500657524848299E-2</v>
      </c>
      <c r="S82" s="150">
        <f ca="1">OFFSET(RES!V$98,$E82,0)</f>
        <v>7.6221992903279551E-2</v>
      </c>
      <c r="T82" s="243">
        <f ca="1">OFFSET(RES!W$98,$E82,0)</f>
        <v>7.7417714892659195E-2</v>
      </c>
      <c r="U82" s="150">
        <f ca="1">OFFSET(RES!X$98,$E82,0)</f>
        <v>7.8518535362117212E-2</v>
      </c>
      <c r="V82" s="150">
        <f ca="1">OFFSET(RES!Y$98,$E82,0)</f>
        <v>7.9827646783767386E-2</v>
      </c>
      <c r="W82" s="150">
        <f ca="1">OFFSET(RES!Z$98,$E82,0)</f>
        <v>8.1094301039872571E-2</v>
      </c>
      <c r="X82" s="150">
        <f ca="1">OFFSET(RES!AA$98,$E82,0)</f>
        <v>8.2306931572204478E-2</v>
      </c>
      <c r="Y82" s="245">
        <f ca="1">OFFSET(RES!AB$98,$E82,0)</f>
        <v>8.3740859628230274E-2</v>
      </c>
      <c r="Z82" s="150">
        <f ca="1">OFFSET(RES!AC$98,$E82,0)</f>
        <v>8.4919069198123642E-2</v>
      </c>
      <c r="AA82" s="150">
        <f ca="1">OFFSET(RES!AD$98,$E82,0)</f>
        <v>8.6350117227602635E-2</v>
      </c>
      <c r="AB82" s="150">
        <f ca="1">OFFSET(RES!AE$98,$E82,0)</f>
        <v>8.7622670892924706E-2</v>
      </c>
      <c r="AC82" s="150">
        <f ca="1">OFFSET(RES!AF$98,$E82,0)</f>
        <v>8.8951942500402559E-2</v>
      </c>
      <c r="AD82" s="150">
        <f ca="1">OFFSET(RES!AG$98,$E82,0)</f>
        <v>9.0294313583464347E-2</v>
      </c>
      <c r="AE82" s="150">
        <f ca="1">OFFSET(RES!AH$98,$E82,0)</f>
        <v>9.1745893415099644E-2</v>
      </c>
      <c r="AF82" s="150">
        <f ca="1">OFFSET(RES!AI$98,$E82,0)</f>
        <v>9.3143031454591949E-2</v>
      </c>
      <c r="AG82" s="150">
        <f ca="1">OFFSET(RES!AJ$98,$E82,0)</f>
        <v>9.4574218840194194E-2</v>
      </c>
      <c r="AH82" s="150">
        <f ca="1">OFFSET(RES!AK$98,$E82,0)</f>
        <v>9.597024203070062E-2</v>
      </c>
      <c r="AI82" s="150">
        <f ca="1">OFFSET(RES!AL$98,$E82,0)</f>
        <v>9.7357346429320174E-2</v>
      </c>
      <c r="AJ82" s="150">
        <f ca="1">OFFSET(RES!AM$98,$E82,0)</f>
        <v>0.10444597434980976</v>
      </c>
      <c r="AK82" s="150">
        <f ca="1">OFFSET(RES!AN$98,$E82,0)</f>
        <v>0.11170986582128532</v>
      </c>
      <c r="AL82" s="150">
        <f ca="1">OFFSET(RES!AO$98,$E82,0)</f>
        <v>0.11170986582128532</v>
      </c>
      <c r="AM82" s="150">
        <f ca="1">OFFSET(RES!AP$98,$E82,0)</f>
        <v>0.11170986582128532</v>
      </c>
    </row>
    <row r="83" spans="1:39">
      <c r="A83" s="36" t="s">
        <v>134</v>
      </c>
      <c r="B83">
        <v>0.46620130319999997</v>
      </c>
      <c r="E83" s="155">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641</v>
      </c>
      <c r="B84">
        <f>[3]EB_2006!$AI$69/1000</f>
        <v>35.178032837499991</v>
      </c>
      <c r="E84" s="152">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67.404634236418261</v>
      </c>
      <c r="N84" s="24">
        <f ca="1">OFFSET(OtherTRA!Q$46,$E84,0)</f>
        <v>65.869990297605227</v>
      </c>
      <c r="O84" s="24">
        <f ca="1">OFFSET(OtherTRA!R$46,$E84,0)</f>
        <v>64.335346358792179</v>
      </c>
      <c r="P84" s="24">
        <f ca="1">OFFSET(OtherTRA!S$46,$E84,0)</f>
        <v>65.804336767317935</v>
      </c>
      <c r="Q84" s="24">
        <f ca="1">OFFSET(OtherTRA!T$46,$E84,0)</f>
        <v>67.27332717584369</v>
      </c>
      <c r="R84" s="24">
        <f ca="1">OFFSET(OtherTRA!U$46,$E84,0)</f>
        <v>68.742317584369445</v>
      </c>
      <c r="S84" s="24">
        <f ca="1">OFFSET(OtherTRA!V$46,$E84,0)</f>
        <v>70.2113079928952</v>
      </c>
      <c r="T84" s="24">
        <f ca="1">OFFSET(OtherTRA!W$46,$E84,0)</f>
        <v>71.680298401420956</v>
      </c>
      <c r="U84" s="24">
        <f ca="1">OFFSET(OtherTRA!X$46,$E84,0)</f>
        <v>73.149288809946711</v>
      </c>
      <c r="V84" s="24">
        <f ca="1">OFFSET(OtherTRA!Y$46,$E84,0)</f>
        <v>74.618279218472466</v>
      </c>
      <c r="W84" s="24">
        <f ca="1">OFFSET(OtherTRA!Z$46,$E84,0)</f>
        <v>76.087269626998221</v>
      </c>
      <c r="X84" s="24">
        <f ca="1">OFFSET(OtherTRA!AA$46,$E84,0)</f>
        <v>77.556260035523977</v>
      </c>
      <c r="Y84" s="24">
        <f ca="1">OFFSET(OtherTRA!AB$46,$E84,0)</f>
        <v>79.025250444049718</v>
      </c>
      <c r="Z84" s="24">
        <f ca="1">OFFSET(OtherTRA!AC$46,$E84,0)</f>
        <v>81.20192966252219</v>
      </c>
      <c r="AA84" s="24">
        <f ca="1">OFFSET(OtherTRA!AD$46,$E84,0)</f>
        <v>83.378608880994662</v>
      </c>
      <c r="AB84" s="24">
        <f ca="1">OFFSET(OtherTRA!AE$46,$E84,0)</f>
        <v>85.555288099467134</v>
      </c>
      <c r="AC84" s="24">
        <f ca="1">OFFSET(OtherTRA!AF$46,$E84,0)</f>
        <v>87.731967317939606</v>
      </c>
      <c r="AD84" s="24">
        <f ca="1">OFFSET(OtherTRA!AG$46,$E84,0)</f>
        <v>89.908646536412078</v>
      </c>
      <c r="AE84" s="24">
        <f ca="1">OFFSET(OtherTRA!AH$46,$E84,0)</f>
        <v>92.085325754884551</v>
      </c>
      <c r="AF84" s="24">
        <f ca="1">OFFSET(OtherTRA!AI$46,$E84,0)</f>
        <v>94.262004973357023</v>
      </c>
      <c r="AG84" s="24">
        <f ca="1">OFFSET(OtherTRA!AJ$46,$E84,0)</f>
        <v>96.438684191829495</v>
      </c>
      <c r="AH84" s="24">
        <f ca="1">OFFSET(OtherTRA!AK$46,$E84,0)</f>
        <v>98.615363410301967</v>
      </c>
      <c r="AI84" s="24">
        <f ca="1">OFFSET(OtherTRA!AL$46,$E84,0)</f>
        <v>100.7920426287744</v>
      </c>
      <c r="AJ84" s="24">
        <f ca="1">OFFSET(OtherTRA!AM$46,$E84,0)</f>
        <v>114.86539964476019</v>
      </c>
      <c r="AK84" s="24">
        <f ca="1">OFFSET(OtherTRA!AN$46,$E84,0)</f>
        <v>128.93875666074598</v>
      </c>
      <c r="AL84" s="24">
        <f ca="1">OFFSET(OtherTRA!AO$46,$E84,0)</f>
        <v>128.93875666074598</v>
      </c>
      <c r="AM84" s="24">
        <f ca="1">OFFSET(OtherTRA!AP$46,$E84,0)</f>
        <v>128.93875666074598</v>
      </c>
    </row>
    <row r="85" spans="1:39" s="225" customFormat="1">
      <c r="A85" s="36" t="s">
        <v>642</v>
      </c>
      <c r="B85" s="225">
        <f>[3]EB_2006!$AI$70/1000</f>
        <v>42.764908764899999</v>
      </c>
      <c r="E85" s="152">
        <f>MATCH(F85,OtherTRA!$D$47:$D$51,0)</f>
        <v>3</v>
      </c>
      <c r="F85" s="225"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20.791975603674391</v>
      </c>
      <c r="N85" s="24">
        <f ca="1">OFFSET(OtherTRA!Q$46,$E85,0)</f>
        <v>21.11872314819599</v>
      </c>
      <c r="O85" s="24">
        <f ca="1">OFFSET(OtherTRA!R$46,$E85,0)</f>
        <v>21.445470692717588</v>
      </c>
      <c r="P85" s="24">
        <f ca="1">OFFSET(OtherTRA!S$46,$E85,0)</f>
        <v>21.935142273534641</v>
      </c>
      <c r="Q85" s="24">
        <f ca="1">OFFSET(OtherTRA!T$46,$E85,0)</f>
        <v>22.424813854351694</v>
      </c>
      <c r="R85" s="24">
        <f ca="1">OFFSET(OtherTRA!U$46,$E85,0)</f>
        <v>22.914485435168746</v>
      </c>
      <c r="S85" s="24">
        <f ca="1">OFFSET(OtherTRA!V$46,$E85,0)</f>
        <v>23.404157015985799</v>
      </c>
      <c r="T85" s="24">
        <f ca="1">OFFSET(OtherTRA!W$46,$E85,0)</f>
        <v>23.893828596802852</v>
      </c>
      <c r="U85" s="24">
        <f ca="1">OFFSET(OtherTRA!X$46,$E85,0)</f>
        <v>24.383500177619904</v>
      </c>
      <c r="V85" s="24">
        <f ca="1">OFFSET(OtherTRA!Y$46,$E85,0)</f>
        <v>24.873171758436957</v>
      </c>
      <c r="W85" s="24">
        <f ca="1">OFFSET(OtherTRA!Z$46,$E85,0)</f>
        <v>25.36284333925401</v>
      </c>
      <c r="X85" s="24">
        <f ca="1">OFFSET(OtherTRA!AA$46,$E85,0)</f>
        <v>25.852514920071062</v>
      </c>
      <c r="Y85" s="24">
        <f ca="1">OFFSET(OtherTRA!AB$46,$E85,0)</f>
        <v>26.342186500888104</v>
      </c>
      <c r="Z85" s="24">
        <f ca="1">OFFSET(OtherTRA!AC$46,$E85,0)</f>
        <v>27.06775825932505</v>
      </c>
      <c r="AA85" s="24">
        <f ca="1">OFFSET(OtherTRA!AD$46,$E85,0)</f>
        <v>27.793330017761996</v>
      </c>
      <c r="AB85" s="24">
        <f ca="1">OFFSET(OtherTRA!AE$46,$E85,0)</f>
        <v>28.518901776198941</v>
      </c>
      <c r="AC85" s="24">
        <f ca="1">OFFSET(OtherTRA!AF$46,$E85,0)</f>
        <v>29.244473534635887</v>
      </c>
      <c r="AD85" s="24">
        <f ca="1">OFFSET(OtherTRA!AG$46,$E85,0)</f>
        <v>29.970045293072832</v>
      </c>
      <c r="AE85" s="24">
        <f ca="1">OFFSET(OtherTRA!AH$46,$E85,0)</f>
        <v>30.695617051509778</v>
      </c>
      <c r="AF85" s="24">
        <f ca="1">OFFSET(OtherTRA!AI$46,$E85,0)</f>
        <v>31.421188809946724</v>
      </c>
      <c r="AG85" s="24">
        <f ca="1">OFFSET(OtherTRA!AJ$46,$E85,0)</f>
        <v>32.146760568383669</v>
      </c>
      <c r="AH85" s="24">
        <f ca="1">OFFSET(OtherTRA!AK$46,$E85,0)</f>
        <v>32.872332326820612</v>
      </c>
      <c r="AI85" s="24">
        <f ca="1">OFFSET(OtherTRA!AL$46,$E85,0)</f>
        <v>33.597904085257554</v>
      </c>
      <c r="AJ85" s="24">
        <f ca="1">OFFSET(OtherTRA!AM$46,$E85,0)</f>
        <v>38.289100799289528</v>
      </c>
      <c r="AK85" s="24">
        <f ca="1">OFFSET(OtherTRA!AN$46,$E85,0)</f>
        <v>42.980297513321496</v>
      </c>
      <c r="AL85" s="24">
        <f ca="1">OFFSET(OtherTRA!AO$46,$E85,0)</f>
        <v>42.980297513321496</v>
      </c>
      <c r="AM85" s="24">
        <f ca="1">OFFSET(OtherTRA!AP$46,$E85,0)</f>
        <v>42.980297513321496</v>
      </c>
    </row>
    <row r="86" spans="1:39">
      <c r="A86" s="36" t="s">
        <v>382</v>
      </c>
      <c r="B86" s="24">
        <f>[3]EB_2006!$AG$68/1000</f>
        <v>0.74474625240000003</v>
      </c>
      <c r="E86" s="154">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1.163268624070271</v>
      </c>
      <c r="N86" s="24">
        <f ca="1">OFFSET(OtherTRA!Q$46,$E86,0)</f>
        <v>1.1518640297166409</v>
      </c>
      <c r="O86" s="24">
        <f ca="1">OFFSET(OtherTRA!R$46,$E86,0)</f>
        <v>1.1404594353630106</v>
      </c>
      <c r="P86" s="24">
        <f ca="1">OFFSET(OtherTRA!S$46,$E86,0)</f>
        <v>1.1664999258037994</v>
      </c>
      <c r="Q86" s="24">
        <f ca="1">OFFSET(OtherTRA!T$46,$E86,0)</f>
        <v>1.1925404162445881</v>
      </c>
      <c r="R86" s="24">
        <f ca="1">OFFSET(OtherTRA!U$46,$E86,0)</f>
        <v>1.2185809066853768</v>
      </c>
      <c r="S86" s="24">
        <f ca="1">OFFSET(OtherTRA!V$46,$E86,0)</f>
        <v>1.2446213971261655</v>
      </c>
      <c r="T86" s="24">
        <f ca="1">OFFSET(OtherTRA!W$46,$E86,0)</f>
        <v>1.2706618875669542</v>
      </c>
      <c r="U86" s="24">
        <f ca="1">OFFSET(OtherTRA!X$46,$E86,0)</f>
        <v>1.2967023780077429</v>
      </c>
      <c r="V86" s="24">
        <f ca="1">OFFSET(OtherTRA!Y$46,$E86,0)</f>
        <v>1.3227428684485316</v>
      </c>
      <c r="W86" s="24">
        <f ca="1">OFFSET(OtherTRA!Z$46,$E86,0)</f>
        <v>1.3487833588893203</v>
      </c>
      <c r="X86" s="24">
        <f ca="1">OFFSET(OtherTRA!AA$46,$E86,0)</f>
        <v>1.374823849330109</v>
      </c>
      <c r="Y86" s="24">
        <f ca="1">OFFSET(OtherTRA!AB$46,$E86,0)</f>
        <v>1.400864339770898</v>
      </c>
      <c r="Z86" s="24">
        <f ca="1">OFFSET(OtherTRA!AC$46,$E86,0)</f>
        <v>1.4394498840006797</v>
      </c>
      <c r="AA86" s="24">
        <f ca="1">OFFSET(OtherTRA!AD$46,$E86,0)</f>
        <v>1.4780354282304615</v>
      </c>
      <c r="AB86" s="24">
        <f ca="1">OFFSET(OtherTRA!AE$46,$E86,0)</f>
        <v>1.5166209724602433</v>
      </c>
      <c r="AC86" s="24">
        <f ca="1">OFFSET(OtherTRA!AF$46,$E86,0)</f>
        <v>1.5552065166900251</v>
      </c>
      <c r="AD86" s="24">
        <f ca="1">OFFSET(OtherTRA!AG$46,$E86,0)</f>
        <v>1.5937920609198069</v>
      </c>
      <c r="AE86" s="24">
        <f ca="1">OFFSET(OtherTRA!AH$46,$E86,0)</f>
        <v>1.6323776051495886</v>
      </c>
      <c r="AF86" s="24">
        <f ca="1">OFFSET(OtherTRA!AI$46,$E86,0)</f>
        <v>1.6709631493793704</v>
      </c>
      <c r="AG86" s="24">
        <f ca="1">OFFSET(OtherTRA!AJ$46,$E86,0)</f>
        <v>1.7095486936091522</v>
      </c>
      <c r="AH86" s="24">
        <f ca="1">OFFSET(OtherTRA!AK$46,$E86,0)</f>
        <v>1.748134237838934</v>
      </c>
      <c r="AI86" s="24">
        <f ca="1">OFFSET(OtherTRA!AL$46,$E86,0)</f>
        <v>1.7867197820687164</v>
      </c>
      <c r="AJ86" s="24">
        <f ca="1">OFFSET(OtherTRA!AM$46,$E86,0)</f>
        <v>2.0361952835543748</v>
      </c>
      <c r="AK86" s="24">
        <f ca="1">OFFSET(OtherTRA!AN$46,$E86,0)</f>
        <v>2.2856707850400335</v>
      </c>
      <c r="AL86" s="24">
        <f ca="1">OFFSET(OtherTRA!AO$46,$E86,0)</f>
        <v>2.2856707850400335</v>
      </c>
      <c r="AM86" s="24">
        <f ca="1">OFFSET(OtherTRA!AP$46,$E86,0)</f>
        <v>2.2856707850400335</v>
      </c>
    </row>
    <row r="87" spans="1:39">
      <c r="A87" s="36" t="s">
        <v>151</v>
      </c>
      <c r="B87" s="24">
        <v>52.28615900487997</v>
      </c>
      <c r="E87" s="153">
        <f>MATCH(F87,FTRA!$D$132:$D$144,0)</f>
        <v>1</v>
      </c>
      <c r="F87" s="4" t="str">
        <f>A87</f>
        <v>TFLCV</v>
      </c>
      <c r="G87" s="24">
        <f ca="1">OFFSET(FTRA!K$131,$E87,0)</f>
        <v>43.541669167045889</v>
      </c>
      <c r="H87" s="24">
        <f ca="1">OFFSET(FTRA!L$131,$E87,0)</f>
        <v>43.970834583522958</v>
      </c>
      <c r="I87" s="24">
        <f ca="1">OFFSET(FTRA!M$131,$E87,0)</f>
        <v>44.4</v>
      </c>
      <c r="J87" s="24">
        <f ca="1">OFFSET(FTRA!N$131,$E87,0)</f>
        <v>44.871410582810697</v>
      </c>
      <c r="K87" s="24">
        <f ca="1">OFFSET(FTRA!O$131,$E87,0)</f>
        <v>45.342821165621402</v>
      </c>
      <c r="L87" s="24">
        <f ca="1">OFFSET(FTRA!P$131,$E87,0)</f>
        <v>44.791910090242503</v>
      </c>
      <c r="M87" s="24">
        <f ca="1">OFFSET(FTRA!Q$131,$E87,0)</f>
        <v>44.240999014863604</v>
      </c>
      <c r="N87" s="24">
        <f ca="1">OFFSET(FTRA!R$131,$E87,0)</f>
        <v>43.690087939484705</v>
      </c>
      <c r="O87" s="234">
        <f ca="1">OFFSET(FTRA!S$131,$E87,0)</f>
        <v>44.469492732584818</v>
      </c>
      <c r="P87" s="24">
        <f ca="1">OFFSET(FTRA!T$131,$E87,0)</f>
        <v>45.248897525684932</v>
      </c>
      <c r="Q87" s="24">
        <f ca="1">OFFSET(FTRA!U$131,$E87,0)</f>
        <v>46.028302318785045</v>
      </c>
      <c r="R87" s="24">
        <f ca="1">OFFSET(FTRA!V$131,$E87,0)</f>
        <v>46.807707111885158</v>
      </c>
      <c r="S87" s="24">
        <f ca="1">OFFSET(FTRA!W$131,$E87,0)</f>
        <v>47.587111904985271</v>
      </c>
      <c r="T87" s="234">
        <f ca="1">OFFSET(FTRA!X$131,$E87,0)</f>
        <v>48.366516698085384</v>
      </c>
      <c r="U87" s="24">
        <f ca="1">OFFSET(FTRA!Y$131,$E87,0)</f>
        <v>49.145921491185497</v>
      </c>
      <c r="V87" s="24">
        <f ca="1">OFFSET(FTRA!Z$131,$E87,0)</f>
        <v>49.92532628428561</v>
      </c>
      <c r="W87" s="24">
        <f ca="1">OFFSET(FTRA!AA$131,$E87,0)</f>
        <v>50.704731077385723</v>
      </c>
      <c r="X87" s="24">
        <f ca="1">OFFSET(FTRA!AB$131,$E87,0)</f>
        <v>51.484135870485829</v>
      </c>
      <c r="Y87" s="246">
        <f ca="1">OFFSET(FTRA!AC$131,$E87,0)</f>
        <v>52.778865712051854</v>
      </c>
      <c r="Z87" s="24">
        <f ca="1">OFFSET(FTRA!AD$131,$E87,0)</f>
        <v>54.073595553617878</v>
      </c>
      <c r="AA87" s="24">
        <f ca="1">OFFSET(FTRA!AE$131,$E87,0)</f>
        <v>55.368325395183902</v>
      </c>
      <c r="AB87" s="24">
        <f ca="1">OFFSET(FTRA!AF$131,$E87,0)</f>
        <v>56.663055236749926</v>
      </c>
      <c r="AC87" s="24">
        <f ca="1">OFFSET(FTRA!AG$131,$E87,0)</f>
        <v>57.95778507831595</v>
      </c>
      <c r="AD87" s="24">
        <f ca="1">OFFSET(FTRA!AH$131,$E87,0)</f>
        <v>59.252514919881975</v>
      </c>
      <c r="AE87" s="24">
        <f ca="1">OFFSET(FTRA!AI$131,$E87,0)</f>
        <v>60.547244761447999</v>
      </c>
      <c r="AF87" s="24">
        <f ca="1">OFFSET(FTRA!AJ$131,$E87,0)</f>
        <v>61.841974603014023</v>
      </c>
      <c r="AG87" s="24">
        <f ca="1">OFFSET(FTRA!AK$131,$E87,0)</f>
        <v>63.136704444580047</v>
      </c>
      <c r="AH87" s="24">
        <f ca="1">OFFSET(FTRA!AL$131,$E87,0)</f>
        <v>64.431434286146057</v>
      </c>
      <c r="AI87" s="24">
        <f ca="1">OFFSET(FTRA!AM$131,$E87,0)</f>
        <v>73.873852013619597</v>
      </c>
      <c r="AJ87" s="24">
        <f ca="1">OFFSET(FTRA!AN$131,$E87,0)</f>
        <v>83.316269741093109</v>
      </c>
      <c r="AK87" s="24">
        <f ca="1">OFFSET(FTRA!AO$131,$E87,0)</f>
        <v>83.316269741093109</v>
      </c>
      <c r="AL87" s="24">
        <f ca="1">OFFSET(FTRA!AP$131,$E87,0)</f>
        <v>83.316269741093109</v>
      </c>
      <c r="AM87" s="24">
        <f ca="1">OFFSET(FTRA!AQ$131,$E87,0)</f>
        <v>0</v>
      </c>
    </row>
    <row r="88" spans="1:39">
      <c r="A88" s="36" t="s">
        <v>417</v>
      </c>
      <c r="B88" s="24">
        <v>4.134278411680218</v>
      </c>
      <c r="E88" s="152">
        <f>MATCH(F88,FTRA!$D$132:$D$144,0)</f>
        <v>2</v>
      </c>
      <c r="F88" s="4" t="str">
        <f>A88</f>
        <v>TFHCV1</v>
      </c>
      <c r="G88" s="24">
        <f ca="1">OFFSET(FTRA!K$131,$E88,0)</f>
        <v>3.3405637523176668</v>
      </c>
      <c r="H88" s="24">
        <f ca="1">OFFSET(FTRA!L$131,$E88,0)</f>
        <v>3.3705637523176666</v>
      </c>
      <c r="I88" s="24">
        <f ca="1">OFFSET(FTRA!M$131,$E88,0)</f>
        <v>3.4</v>
      </c>
      <c r="J88" s="24">
        <f ca="1">OFFSET(FTRA!N$131,$E88,0)</f>
        <v>3.4249999999999998</v>
      </c>
      <c r="K88" s="24">
        <f ca="1">OFFSET(FTRA!O$131,$E88,0)</f>
        <v>3.45</v>
      </c>
      <c r="L88" s="24">
        <f ca="1">OFFSET(FTRA!P$131,$E88,0)</f>
        <v>3.4181148429418728</v>
      </c>
      <c r="M88" s="24">
        <f ca="1">OFFSET(FTRA!Q$131,$E88,0)</f>
        <v>3.3862296858837455</v>
      </c>
      <c r="N88" s="24">
        <f ca="1">OFFSET(FTRA!R$131,$E88,0)</f>
        <v>3.3543445288256182</v>
      </c>
      <c r="O88" s="234">
        <f ca="1">OFFSET(FTRA!S$131,$E88,0)</f>
        <v>3.4141840101994489</v>
      </c>
      <c r="P88" s="24">
        <f ca="1">OFFSET(FTRA!T$131,$E88,0)</f>
        <v>3.4740234915732797</v>
      </c>
      <c r="Q88" s="24">
        <f ca="1">OFFSET(FTRA!U$131,$E88,0)</f>
        <v>3.5338629729471105</v>
      </c>
      <c r="R88" s="24">
        <f ca="1">OFFSET(FTRA!V$131,$E88,0)</f>
        <v>3.5937024543209413</v>
      </c>
      <c r="S88" s="24">
        <f ca="1">OFFSET(FTRA!W$131,$E88,0)</f>
        <v>3.653541935694772</v>
      </c>
      <c r="T88" s="234">
        <f ca="1">OFFSET(FTRA!X$131,$E88,0)</f>
        <v>3.7133814170686028</v>
      </c>
      <c r="U88" s="24">
        <f ca="1">OFFSET(FTRA!Y$131,$E88,0)</f>
        <v>3.7732208984424336</v>
      </c>
      <c r="V88" s="24">
        <f ca="1">OFFSET(FTRA!Z$131,$E88,0)</f>
        <v>3.8330603798162644</v>
      </c>
      <c r="W88" s="24">
        <f ca="1">OFFSET(FTRA!AA$131,$E88,0)</f>
        <v>3.8928998611900951</v>
      </c>
      <c r="X88" s="24">
        <f ca="1">OFFSET(FTRA!AB$131,$E88,0)</f>
        <v>3.9527393425639255</v>
      </c>
      <c r="Y88" s="246">
        <f ca="1">OFFSET(FTRA!AC$131,$E88,0)</f>
        <v>4.0521433530657971</v>
      </c>
      <c r="Z88" s="24">
        <f ca="1">OFFSET(FTRA!AD$131,$E88,0)</f>
        <v>4.1515473635676692</v>
      </c>
      <c r="AA88" s="24">
        <f ca="1">OFFSET(FTRA!AE$131,$E88,0)</f>
        <v>4.2509513740695413</v>
      </c>
      <c r="AB88" s="24">
        <f ca="1">OFFSET(FTRA!AF$131,$E88,0)</f>
        <v>4.3503553845714134</v>
      </c>
      <c r="AC88" s="24">
        <f ca="1">OFFSET(FTRA!AG$131,$E88,0)</f>
        <v>4.4497593950732854</v>
      </c>
      <c r="AD88" s="24">
        <f ca="1">OFFSET(FTRA!AH$131,$E88,0)</f>
        <v>4.5491634055751575</v>
      </c>
      <c r="AE88" s="24">
        <f ca="1">OFFSET(FTRA!AI$131,$E88,0)</f>
        <v>4.6485674160770296</v>
      </c>
      <c r="AF88" s="24">
        <f ca="1">OFFSET(FTRA!AJ$131,$E88,0)</f>
        <v>4.7479714265789017</v>
      </c>
      <c r="AG88" s="24">
        <f ca="1">OFFSET(FTRA!AK$131,$E88,0)</f>
        <v>4.8473754370807738</v>
      </c>
      <c r="AH88" s="24">
        <f ca="1">OFFSET(FTRA!AL$131,$E88,0)</f>
        <v>4.946779447582645</v>
      </c>
      <c r="AI88" s="24">
        <f ca="1">OFFSET(FTRA!AM$131,$E88,0)</f>
        <v>5.6717292871642773</v>
      </c>
      <c r="AJ88" s="24">
        <f ca="1">OFFSET(FTRA!AN$131,$E88,0)</f>
        <v>6.3966791267459095</v>
      </c>
      <c r="AK88" s="24">
        <f ca="1">OFFSET(FTRA!AO$131,$E88,0)</f>
        <v>6.3966791267459095</v>
      </c>
      <c r="AL88" s="24">
        <f ca="1">OFFSET(FTRA!AP$131,$E88,0)</f>
        <v>6.3966791267459095</v>
      </c>
      <c r="AM88" s="24">
        <f ca="1">OFFSET(FTRA!AQ$131,$E88,0)</f>
        <v>0</v>
      </c>
    </row>
    <row r="89" spans="1:39" s="4" customFormat="1">
      <c r="A89" s="36" t="s">
        <v>418</v>
      </c>
      <c r="B89" s="24">
        <v>0.80954708483781546</v>
      </c>
      <c r="E89" s="152">
        <f>MATCH(F89,FTRA!$D$132:$D$144,0)</f>
        <v>3</v>
      </c>
      <c r="F89" s="4" t="str">
        <f t="shared" ref="F89:F96" si="3">A89</f>
        <v>TFHCV2</v>
      </c>
      <c r="G89" s="24">
        <f ca="1">OFFSET(FTRA!K$131,$E89,0)</f>
        <v>0.67123078144835724</v>
      </c>
      <c r="H89" s="24">
        <f ca="1">OFFSET(FTRA!L$131,$E89,0)</f>
        <v>0.68767760882583318</v>
      </c>
      <c r="I89" s="24">
        <f ca="1">OFFSET(FTRA!M$131,$E89,0)</f>
        <v>0.704124436203308</v>
      </c>
      <c r="J89" s="24">
        <f ca="1">OFFSET(FTRA!N$131,$E89,0)</f>
        <v>0.72006693722491655</v>
      </c>
      <c r="K89" s="24">
        <f ca="1">OFFSET(FTRA!O$131,$E89,0)</f>
        <v>0.73600943824652509</v>
      </c>
      <c r="L89" s="24">
        <f ca="1">OFFSET(FTRA!P$131,$E89,0)</f>
        <v>0.71185835398715591</v>
      </c>
      <c r="M89" s="24">
        <f ca="1">OFFSET(FTRA!Q$131,$E89,0)</f>
        <v>0.68770726972778673</v>
      </c>
      <c r="N89" s="24">
        <f ca="1">OFFSET(FTRA!R$131,$E89,0)</f>
        <v>0.66355618546841744</v>
      </c>
      <c r="O89" s="234">
        <f ca="1">OFFSET(FTRA!S$131,$E89,0)</f>
        <v>0.67539362722778529</v>
      </c>
      <c r="P89" s="24">
        <f ca="1">OFFSET(FTRA!T$131,$E89,0)</f>
        <v>0.68723106898715314</v>
      </c>
      <c r="Q89" s="24">
        <f ca="1">OFFSET(FTRA!U$131,$E89,0)</f>
        <v>0.69906851074652099</v>
      </c>
      <c r="R89" s="24">
        <f ca="1">OFFSET(FTRA!V$131,$E89,0)</f>
        <v>0.71090595250588884</v>
      </c>
      <c r="S89" s="24">
        <f ca="1">OFFSET(FTRA!W$131,$E89,0)</f>
        <v>0.72274339426525669</v>
      </c>
      <c r="T89" s="234">
        <f ca="1">OFFSET(FTRA!X$131,$E89,0)</f>
        <v>0.73458083602462454</v>
      </c>
      <c r="U89" s="24">
        <f ca="1">OFFSET(FTRA!Y$131,$E89,0)</f>
        <v>0.74641827778399239</v>
      </c>
      <c r="V89" s="24">
        <f ca="1">OFFSET(FTRA!Z$131,$E89,0)</f>
        <v>0.75825571954336024</v>
      </c>
      <c r="W89" s="24">
        <f ca="1">OFFSET(FTRA!AA$131,$E89,0)</f>
        <v>0.77009316130272809</v>
      </c>
      <c r="X89" s="24">
        <f ca="1">OFFSET(FTRA!AB$131,$E89,0)</f>
        <v>0.78193060306209605</v>
      </c>
      <c r="Y89" s="246">
        <f ca="1">OFFSET(FTRA!AC$131,$E89,0)</f>
        <v>0.8015946970339749</v>
      </c>
      <c r="Z89" s="24">
        <f ca="1">OFFSET(FTRA!AD$131,$E89,0)</f>
        <v>0.82125879100585375</v>
      </c>
      <c r="AA89" s="24">
        <f ca="1">OFFSET(FTRA!AE$131,$E89,0)</f>
        <v>0.8409228849777326</v>
      </c>
      <c r="AB89" s="24">
        <f ca="1">OFFSET(FTRA!AF$131,$E89,0)</f>
        <v>0.86058697894961145</v>
      </c>
      <c r="AC89" s="24">
        <f ca="1">OFFSET(FTRA!AG$131,$E89,0)</f>
        <v>0.8802510729214903</v>
      </c>
      <c r="AD89" s="24">
        <f ca="1">OFFSET(FTRA!AH$131,$E89,0)</f>
        <v>0.89991516689336915</v>
      </c>
      <c r="AE89" s="24">
        <f ca="1">OFFSET(FTRA!AI$131,$E89,0)</f>
        <v>0.91957926086524799</v>
      </c>
      <c r="AF89" s="24">
        <f ca="1">OFFSET(FTRA!AJ$131,$E89,0)</f>
        <v>0.93924335483712684</v>
      </c>
      <c r="AG89" s="24">
        <f ca="1">OFFSET(FTRA!AK$131,$E89,0)</f>
        <v>0.95890744880900569</v>
      </c>
      <c r="AH89" s="24">
        <f ca="1">OFFSET(FTRA!AL$131,$E89,0)</f>
        <v>0.97857154278088487</v>
      </c>
      <c r="AI89" s="24">
        <f ca="1">OFFSET(FTRA!AM$131,$E89,0)</f>
        <v>1.121981066184</v>
      </c>
      <c r="AJ89" s="24">
        <f ca="1">OFFSET(FTRA!AN$131,$E89,0)</f>
        <v>1.2653905895871151</v>
      </c>
      <c r="AK89" s="24">
        <f ca="1">OFFSET(FTRA!AO$131,$E89,0)</f>
        <v>1.2653905895871151</v>
      </c>
      <c r="AL89" s="24">
        <f ca="1">OFFSET(FTRA!AP$131,$E89,0)</f>
        <v>1.2653905895871151</v>
      </c>
      <c r="AM89" s="24">
        <f ca="1">OFFSET(FTRA!AQ$131,$E89,0)</f>
        <v>0</v>
      </c>
    </row>
    <row r="90" spans="1:39" s="4" customFormat="1">
      <c r="A90" s="36" t="s">
        <v>419</v>
      </c>
      <c r="B90" s="24">
        <v>2.7195831056144888</v>
      </c>
      <c r="E90" s="152">
        <f>MATCH(F90,FTRA!$D$132:$D$144,0)</f>
        <v>4</v>
      </c>
      <c r="F90" s="4" t="str">
        <f t="shared" si="3"/>
        <v>TFHCV3</v>
      </c>
      <c r="G90" s="24">
        <f ca="1">OFFSET(FTRA!K$131,$E90,0)</f>
        <v>2.7742708985474289</v>
      </c>
      <c r="H90" s="24">
        <f ca="1">OFFSET(FTRA!L$131,$E90,0)</f>
        <v>2.8371354492737191</v>
      </c>
      <c r="I90" s="24">
        <f ca="1">OFFSET(FTRA!M$131,$E90,0)</f>
        <v>2.9</v>
      </c>
      <c r="J90" s="24">
        <f ca="1">OFFSET(FTRA!N$131,$E90,0)</f>
        <v>2.9652984627095749</v>
      </c>
      <c r="K90" s="24">
        <f ca="1">OFFSET(FTRA!O$131,$E90,0)</f>
        <v>3.0305969254191498</v>
      </c>
      <c r="L90" s="24">
        <f ca="1">OFFSET(FTRA!P$131,$E90,0)</f>
        <v>2.9363084284503151</v>
      </c>
      <c r="M90" s="24">
        <f ca="1">OFFSET(FTRA!Q$131,$E90,0)</f>
        <v>2.8420199314814805</v>
      </c>
      <c r="N90" s="24">
        <f ca="1">OFFSET(FTRA!R$131,$E90,0)</f>
        <v>2.7477314345126458</v>
      </c>
      <c r="O90" s="234">
        <f ca="1">OFFSET(FTRA!S$131,$E90,0)</f>
        <v>2.7967493044967333</v>
      </c>
      <c r="P90" s="24">
        <f ca="1">OFFSET(FTRA!T$131,$E90,0)</f>
        <v>2.8457671744808208</v>
      </c>
      <c r="Q90" s="24">
        <f ca="1">OFFSET(FTRA!U$131,$E90,0)</f>
        <v>2.8947850444649084</v>
      </c>
      <c r="R90" s="24">
        <f ca="1">OFFSET(FTRA!V$131,$E90,0)</f>
        <v>2.9438029144489959</v>
      </c>
      <c r="S90" s="24">
        <f ca="1">OFFSET(FTRA!W$131,$E90,0)</f>
        <v>2.9928207844330834</v>
      </c>
      <c r="T90" s="234">
        <f ca="1">OFFSET(FTRA!X$131,$E90,0)</f>
        <v>3.0418386544171709</v>
      </c>
      <c r="U90" s="24">
        <f ca="1">OFFSET(FTRA!Y$131,$E90,0)</f>
        <v>3.0908565244012585</v>
      </c>
      <c r="V90" s="24">
        <f ca="1">OFFSET(FTRA!Z$131,$E90,0)</f>
        <v>3.139874394385346</v>
      </c>
      <c r="W90" s="24">
        <f ca="1">OFFSET(FTRA!AA$131,$E90,0)</f>
        <v>3.1888922643694335</v>
      </c>
      <c r="X90" s="24">
        <f ca="1">OFFSET(FTRA!AB$131,$E90,0)</f>
        <v>3.2379101343535193</v>
      </c>
      <c r="Y90" s="246">
        <f ca="1">OFFSET(FTRA!AC$131,$E90,0)</f>
        <v>3.3193375256144417</v>
      </c>
      <c r="Z90" s="24">
        <f ca="1">OFFSET(FTRA!AD$131,$E90,0)</f>
        <v>3.4007649168753646</v>
      </c>
      <c r="AA90" s="24">
        <f ca="1">OFFSET(FTRA!AE$131,$E90,0)</f>
        <v>3.4821923081362876</v>
      </c>
      <c r="AB90" s="24">
        <f ca="1">OFFSET(FTRA!AF$131,$E90,0)</f>
        <v>3.5636196993972105</v>
      </c>
      <c r="AC90" s="24">
        <f ca="1">OFFSET(FTRA!AG$131,$E90,0)</f>
        <v>3.6450470906581334</v>
      </c>
      <c r="AD90" s="24">
        <f ca="1">OFFSET(FTRA!AH$131,$E90,0)</f>
        <v>3.7264744819190563</v>
      </c>
      <c r="AE90" s="24">
        <f ca="1">OFFSET(FTRA!AI$131,$E90,0)</f>
        <v>3.8079018731799792</v>
      </c>
      <c r="AF90" s="24">
        <f ca="1">OFFSET(FTRA!AJ$131,$E90,0)</f>
        <v>3.8893292644409021</v>
      </c>
      <c r="AG90" s="24">
        <f ca="1">OFFSET(FTRA!AK$131,$E90,0)</f>
        <v>3.970756655701825</v>
      </c>
      <c r="AH90" s="24">
        <f ca="1">OFFSET(FTRA!AL$131,$E90,0)</f>
        <v>4.0521840469627461</v>
      </c>
      <c r="AI90" s="24">
        <f ca="1">OFFSET(FTRA!AM$131,$E90,0)</f>
        <v>4.6460310550876853</v>
      </c>
      <c r="AJ90" s="24">
        <f ca="1">OFFSET(FTRA!AN$131,$E90,0)</f>
        <v>5.2398780632126236</v>
      </c>
      <c r="AK90" s="24">
        <f ca="1">OFFSET(FTRA!AO$131,$E90,0)</f>
        <v>5.2398780632126236</v>
      </c>
      <c r="AL90" s="24">
        <f ca="1">OFFSET(FTRA!AP$131,$E90,0)</f>
        <v>5.2398780632126236</v>
      </c>
      <c r="AM90" s="24">
        <f ca="1">OFFSET(FTRA!AQ$131,$E90,0)</f>
        <v>0</v>
      </c>
    </row>
    <row r="91" spans="1:39" s="4" customFormat="1">
      <c r="A91" s="36" t="s">
        <v>420</v>
      </c>
      <c r="B91" s="24">
        <v>0.66594475210557558</v>
      </c>
      <c r="E91" s="152">
        <f>MATCH(F91,FTRA!$D$132:$D$144,0)</f>
        <v>5</v>
      </c>
      <c r="F91" s="4" t="str">
        <f t="shared" si="3"/>
        <v>TFHCV4</v>
      </c>
      <c r="G91" s="24">
        <f ca="1">OFFSET(FTRA!K$131,$E91,0)</f>
        <v>0.55900373411704862</v>
      </c>
      <c r="H91" s="24">
        <f ca="1">OFFSET(FTRA!L$131,$E91,0)</f>
        <v>0.54776774593732769</v>
      </c>
      <c r="I91" s="24">
        <f ca="1">OFFSET(FTRA!M$131,$E91,0)</f>
        <v>0.53653175775760331</v>
      </c>
      <c r="J91" s="24">
        <f ca="1">OFFSET(FTRA!N$131,$E91,0)</f>
        <v>0.54016937887880168</v>
      </c>
      <c r="K91" s="24">
        <f ca="1">OFFSET(FTRA!O$131,$E91,0)</f>
        <v>0.54380700000000004</v>
      </c>
      <c r="L91" s="24">
        <f ca="1">OFFSET(FTRA!P$131,$E91,0)</f>
        <v>0.55516443430062412</v>
      </c>
      <c r="M91" s="24">
        <f ca="1">OFFSET(FTRA!Q$131,$E91,0)</f>
        <v>0.5665218686012482</v>
      </c>
      <c r="N91" s="24">
        <f ca="1">OFFSET(FTRA!R$131,$E91,0)</f>
        <v>0.57787930290187217</v>
      </c>
      <c r="O91" s="234">
        <f ca="1">OFFSET(FTRA!S$131,$E91,0)</f>
        <v>0.58818832079945393</v>
      </c>
      <c r="P91" s="24">
        <f ca="1">OFFSET(FTRA!T$131,$E91,0)</f>
        <v>0.5984973386970357</v>
      </c>
      <c r="Q91" s="24">
        <f ca="1">OFFSET(FTRA!U$131,$E91,0)</f>
        <v>0.60880635659461746</v>
      </c>
      <c r="R91" s="24">
        <f ca="1">OFFSET(FTRA!V$131,$E91,0)</f>
        <v>0.61911537449219922</v>
      </c>
      <c r="S91" s="24">
        <f ca="1">OFFSET(FTRA!W$131,$E91,0)</f>
        <v>0.62942439238978098</v>
      </c>
      <c r="T91" s="234">
        <f ca="1">OFFSET(FTRA!X$131,$E91,0)</f>
        <v>0.63973341028736275</v>
      </c>
      <c r="U91" s="24">
        <f ca="1">OFFSET(FTRA!Y$131,$E91,0)</f>
        <v>0.65004242818494451</v>
      </c>
      <c r="V91" s="24">
        <f ca="1">OFFSET(FTRA!Z$131,$E91,0)</f>
        <v>0.66035144608252627</v>
      </c>
      <c r="W91" s="24">
        <f ca="1">OFFSET(FTRA!AA$131,$E91,0)</f>
        <v>0.67066046398010803</v>
      </c>
      <c r="X91" s="24">
        <f ca="1">OFFSET(FTRA!AB$131,$E91,0)</f>
        <v>0.68096948187769013</v>
      </c>
      <c r="Y91" s="246">
        <f ca="1">OFFSET(FTRA!AC$131,$E91,0)</f>
        <v>0.69809459225345216</v>
      </c>
      <c r="Z91" s="24">
        <f ca="1">OFFSET(FTRA!AD$131,$E91,0)</f>
        <v>0.71521970262921419</v>
      </c>
      <c r="AA91" s="24">
        <f ca="1">OFFSET(FTRA!AE$131,$E91,0)</f>
        <v>0.73234481300497623</v>
      </c>
      <c r="AB91" s="24">
        <f ca="1">OFFSET(FTRA!AF$131,$E91,0)</f>
        <v>0.74946992338073826</v>
      </c>
      <c r="AC91" s="24">
        <f ca="1">OFFSET(FTRA!AG$131,$E91,0)</f>
        <v>0.76659503375650029</v>
      </c>
      <c r="AD91" s="24">
        <f ca="1">OFFSET(FTRA!AH$131,$E91,0)</f>
        <v>0.78372014413226232</v>
      </c>
      <c r="AE91" s="24">
        <f ca="1">OFFSET(FTRA!AI$131,$E91,0)</f>
        <v>0.80084525450802435</v>
      </c>
      <c r="AF91" s="24">
        <f ca="1">OFFSET(FTRA!AJ$131,$E91,0)</f>
        <v>0.81797036488378638</v>
      </c>
      <c r="AG91" s="24">
        <f ca="1">OFFSET(FTRA!AK$131,$E91,0)</f>
        <v>0.83509547525954841</v>
      </c>
      <c r="AH91" s="24">
        <f ca="1">OFFSET(FTRA!AL$131,$E91,0)</f>
        <v>0.85222058563531033</v>
      </c>
      <c r="AI91" s="24">
        <f ca="1">OFFSET(FTRA!AM$131,$E91,0)</f>
        <v>0.97711339385347196</v>
      </c>
      <c r="AJ91" s="24">
        <f ca="1">OFFSET(FTRA!AN$131,$E91,0)</f>
        <v>1.1020062020716337</v>
      </c>
      <c r="AK91" s="24">
        <f ca="1">OFFSET(FTRA!AO$131,$E91,0)</f>
        <v>1.1020062020716337</v>
      </c>
      <c r="AL91" s="24">
        <f ca="1">OFFSET(FTRA!AP$131,$E91,0)</f>
        <v>1.1020062020716337</v>
      </c>
      <c r="AM91" s="24">
        <f ca="1">OFFSET(FTRA!AQ$131,$E91,0)</f>
        <v>0</v>
      </c>
    </row>
    <row r="92" spans="1:39" s="4" customFormat="1">
      <c r="A92" s="36" t="s">
        <v>421</v>
      </c>
      <c r="B92" s="24">
        <v>0.33457448391316724</v>
      </c>
      <c r="E92" s="152">
        <f>MATCH(F92,FTRA!$D$132:$D$144,0)</f>
        <v>6</v>
      </c>
      <c r="F92" s="4" t="str">
        <f t="shared" si="3"/>
        <v>TFHCV5</v>
      </c>
      <c r="G92" s="24">
        <f ca="1">OFFSET(FTRA!K$131,$E92,0)</f>
        <v>0.27740453823694228</v>
      </c>
      <c r="H92" s="24">
        <f ca="1">OFFSET(FTRA!L$131,$E92,0)</f>
        <v>0.28154405711847125</v>
      </c>
      <c r="I92" s="24">
        <f ca="1">OFFSET(FTRA!M$131,$E92,0)</f>
        <v>0.28568357599999999</v>
      </c>
      <c r="J92" s="24">
        <f ca="1">OFFSET(FTRA!N$131,$E92,0)</f>
        <v>0.2876204765</v>
      </c>
      <c r="K92" s="24">
        <f ca="1">OFFSET(FTRA!O$131,$E92,0)</f>
        <v>0.289557377</v>
      </c>
      <c r="L92" s="24">
        <f ca="1">OFFSET(FTRA!P$131,$E92,0)</f>
        <v>0.28534691423305703</v>
      </c>
      <c r="M92" s="24">
        <f ca="1">OFFSET(FTRA!Q$131,$E92,0)</f>
        <v>0.28113645146611405</v>
      </c>
      <c r="N92" s="24">
        <f ca="1">OFFSET(FTRA!R$131,$E92,0)</f>
        <v>0.27692598869917107</v>
      </c>
      <c r="O92" s="234">
        <f ca="1">OFFSET(FTRA!S$131,$E92,0)</f>
        <v>0.28186618115712808</v>
      </c>
      <c r="P92" s="24">
        <f ca="1">OFFSET(FTRA!T$131,$E92,0)</f>
        <v>0.2868063736150851</v>
      </c>
      <c r="Q92" s="24">
        <f ca="1">OFFSET(FTRA!U$131,$E92,0)</f>
        <v>0.29174656607304211</v>
      </c>
      <c r="R92" s="24">
        <f ca="1">OFFSET(FTRA!V$131,$E92,0)</f>
        <v>0.29668675853099913</v>
      </c>
      <c r="S92" s="24">
        <f ca="1">OFFSET(FTRA!W$131,$E92,0)</f>
        <v>0.30162695098895614</v>
      </c>
      <c r="T92" s="234">
        <f ca="1">OFFSET(FTRA!X$131,$E92,0)</f>
        <v>0.30656714344691316</v>
      </c>
      <c r="U92" s="24">
        <f ca="1">OFFSET(FTRA!Y$131,$E92,0)</f>
        <v>0.31150733590487018</v>
      </c>
      <c r="V92" s="24">
        <f ca="1">OFFSET(FTRA!Z$131,$E92,0)</f>
        <v>0.31644752836282719</v>
      </c>
      <c r="W92" s="24">
        <f ca="1">OFFSET(FTRA!AA$131,$E92,0)</f>
        <v>0.32138772082078421</v>
      </c>
      <c r="X92" s="24">
        <f ca="1">OFFSET(FTRA!AB$131,$E92,0)</f>
        <v>0.32632791327874133</v>
      </c>
      <c r="Y92" s="246">
        <f ca="1">OFFSET(FTRA!AC$131,$E92,0)</f>
        <v>0.33453445069680771</v>
      </c>
      <c r="Z92" s="24">
        <f ca="1">OFFSET(FTRA!AD$131,$E92,0)</f>
        <v>0.34274098811487408</v>
      </c>
      <c r="AA92" s="24">
        <f ca="1">OFFSET(FTRA!AE$131,$E92,0)</f>
        <v>0.35094752553294045</v>
      </c>
      <c r="AB92" s="24">
        <f ca="1">OFFSET(FTRA!AF$131,$E92,0)</f>
        <v>0.35915406295100682</v>
      </c>
      <c r="AC92" s="24">
        <f ca="1">OFFSET(FTRA!AG$131,$E92,0)</f>
        <v>0.3673606003690732</v>
      </c>
      <c r="AD92" s="24">
        <f ca="1">OFFSET(FTRA!AH$131,$E92,0)</f>
        <v>0.37556713778713957</v>
      </c>
      <c r="AE92" s="24">
        <f ca="1">OFFSET(FTRA!AI$131,$E92,0)</f>
        <v>0.38377367520520594</v>
      </c>
      <c r="AF92" s="24">
        <f ca="1">OFFSET(FTRA!AJ$131,$E92,0)</f>
        <v>0.39198021262327232</v>
      </c>
      <c r="AG92" s="24">
        <f ca="1">OFFSET(FTRA!AK$131,$E92,0)</f>
        <v>0.40018675004133869</v>
      </c>
      <c r="AH92" s="24">
        <f ca="1">OFFSET(FTRA!AL$131,$E92,0)</f>
        <v>0.40839328745940517</v>
      </c>
      <c r="AI92" s="24">
        <f ca="1">OFFSET(FTRA!AM$131,$E92,0)</f>
        <v>0.46824326689897561</v>
      </c>
      <c r="AJ92" s="24">
        <f ca="1">OFFSET(FTRA!AN$131,$E92,0)</f>
        <v>0.52809324633854615</v>
      </c>
      <c r="AK92" s="24">
        <f ca="1">OFFSET(FTRA!AO$131,$E92,0)</f>
        <v>0.52809324633854615</v>
      </c>
      <c r="AL92" s="24">
        <f ca="1">OFFSET(FTRA!AP$131,$E92,0)</f>
        <v>0.52809324633854615</v>
      </c>
      <c r="AM92" s="24">
        <f ca="1">OFFSET(FTRA!AQ$131,$E92,0)</f>
        <v>0</v>
      </c>
    </row>
    <row r="93" spans="1:39" s="4" customFormat="1">
      <c r="A93" s="36" t="s">
        <v>422</v>
      </c>
      <c r="B93" s="24">
        <v>4.2080971938397562</v>
      </c>
      <c r="E93" s="152">
        <f>MATCH(F93,FTRA!$D$132:$D$144,0)</f>
        <v>7</v>
      </c>
      <c r="F93" s="4" t="str">
        <f t="shared" si="3"/>
        <v>TFHCV6</v>
      </c>
      <c r="G93" s="24">
        <f ca="1">OFFSET(FTRA!K$131,$E93,0)</f>
        <v>5.3607583408806443</v>
      </c>
      <c r="H93" s="24">
        <f ca="1">OFFSET(FTRA!L$131,$E93,0)</f>
        <v>5.6853791704403243</v>
      </c>
      <c r="I93" s="24">
        <f ca="1">OFFSET(FTRA!M$131,$E93,0)</f>
        <v>6.01</v>
      </c>
      <c r="J93" s="24">
        <f ca="1">OFFSET(FTRA!N$131,$E93,0)</f>
        <v>6.3253919226144593</v>
      </c>
      <c r="K93" s="24">
        <f ca="1">OFFSET(FTRA!O$131,$E93,0)</f>
        <v>6.6407838452289196</v>
      </c>
      <c r="L93" s="24">
        <f ca="1">OFFSET(FTRA!P$131,$E93,0)</f>
        <v>6.1283916780391117</v>
      </c>
      <c r="M93" s="24">
        <f ca="1">OFFSET(FTRA!Q$131,$E93,0)</f>
        <v>5.6159995108493037</v>
      </c>
      <c r="N93" s="24">
        <f ca="1">OFFSET(FTRA!R$131,$E93,0)</f>
        <v>5.1036073436594949</v>
      </c>
      <c r="O93" s="234">
        <f ca="1">OFFSET(FTRA!S$131,$E93,0)</f>
        <v>5.1946526176186314</v>
      </c>
      <c r="P93" s="24">
        <f ca="1">OFFSET(FTRA!T$131,$E93,0)</f>
        <v>5.2856978915777679</v>
      </c>
      <c r="Q93" s="24">
        <f ca="1">OFFSET(FTRA!U$131,$E93,0)</f>
        <v>5.3767431655369045</v>
      </c>
      <c r="R93" s="24">
        <f ca="1">OFFSET(FTRA!V$131,$E93,0)</f>
        <v>5.467788439496041</v>
      </c>
      <c r="S93" s="24">
        <f ca="1">OFFSET(FTRA!W$131,$E93,0)</f>
        <v>5.5588337134551775</v>
      </c>
      <c r="T93" s="234">
        <f ca="1">OFFSET(FTRA!X$131,$E93,0)</f>
        <v>5.649878987414314</v>
      </c>
      <c r="U93" s="24">
        <f ca="1">OFFSET(FTRA!Y$131,$E93,0)</f>
        <v>5.7409242613734506</v>
      </c>
      <c r="V93" s="24">
        <f ca="1">OFFSET(FTRA!Z$131,$E93,0)</f>
        <v>5.8319695353325871</v>
      </c>
      <c r="W93" s="24">
        <f ca="1">OFFSET(FTRA!AA$131,$E93,0)</f>
        <v>5.9230148092917236</v>
      </c>
      <c r="X93" s="24">
        <f ca="1">OFFSET(FTRA!AB$131,$E93,0)</f>
        <v>6.0140600832508566</v>
      </c>
      <c r="Y93" s="246">
        <f ca="1">OFFSET(FTRA!AC$131,$E93,0)</f>
        <v>6.1653024597053037</v>
      </c>
      <c r="Z93" s="24">
        <f ca="1">OFFSET(FTRA!AD$131,$E93,0)</f>
        <v>6.3165448361597507</v>
      </c>
      <c r="AA93" s="24">
        <f ca="1">OFFSET(FTRA!AE$131,$E93,0)</f>
        <v>6.4677872126141978</v>
      </c>
      <c r="AB93" s="24">
        <f ca="1">OFFSET(FTRA!AF$131,$E93,0)</f>
        <v>6.6190295890686448</v>
      </c>
      <c r="AC93" s="24">
        <f ca="1">OFFSET(FTRA!AG$131,$E93,0)</f>
        <v>6.7702719655230919</v>
      </c>
      <c r="AD93" s="24">
        <f ca="1">OFFSET(FTRA!AH$131,$E93,0)</f>
        <v>6.9215143419775389</v>
      </c>
      <c r="AE93" s="24">
        <f ca="1">OFFSET(FTRA!AI$131,$E93,0)</f>
        <v>7.0727567184319859</v>
      </c>
      <c r="AF93" s="24">
        <f ca="1">OFFSET(FTRA!AJ$131,$E93,0)</f>
        <v>7.223999094886433</v>
      </c>
      <c r="AG93" s="24">
        <f ca="1">OFFSET(FTRA!AK$131,$E93,0)</f>
        <v>7.37524147134088</v>
      </c>
      <c r="AH93" s="24">
        <f ca="1">OFFSET(FTRA!AL$131,$E93,0)</f>
        <v>7.5264838477953289</v>
      </c>
      <c r="AI93" s="24">
        <f ca="1">OFFSET(FTRA!AM$131,$E93,0)</f>
        <v>8.6294890082011193</v>
      </c>
      <c r="AJ93" s="24">
        <f ca="1">OFFSET(FTRA!AN$131,$E93,0)</f>
        <v>9.7324941686069124</v>
      </c>
      <c r="AK93" s="24">
        <f ca="1">OFFSET(FTRA!AO$131,$E93,0)</f>
        <v>9.7324941686069124</v>
      </c>
      <c r="AL93" s="24">
        <f ca="1">OFFSET(FTRA!AP$131,$E93,0)</f>
        <v>9.7324941686069124</v>
      </c>
      <c r="AM93" s="24">
        <f ca="1">OFFSET(FTRA!AQ$131,$E93,0)</f>
        <v>0</v>
      </c>
    </row>
    <row r="94" spans="1:39" s="4" customFormat="1">
      <c r="A94" s="36" t="s">
        <v>423</v>
      </c>
      <c r="B94" s="24">
        <v>1.4910262867673953</v>
      </c>
      <c r="E94" s="152">
        <f>MATCH(F94,FTRA!$D$132:$D$144,0)</f>
        <v>8</v>
      </c>
      <c r="F94" s="4" t="str">
        <f t="shared" si="3"/>
        <v>TFHCV7</v>
      </c>
      <c r="G94" s="24">
        <f ca="1">OFFSET(FTRA!K$131,$E94,0)</f>
        <v>1.6102045790167996</v>
      </c>
      <c r="H94" s="24">
        <f ca="1">OFFSET(FTRA!L$131,$E94,0)</f>
        <v>1.6551022895084029</v>
      </c>
      <c r="I94" s="24">
        <f ca="1">OFFSET(FTRA!M$131,$E94,0)</f>
        <v>1.7</v>
      </c>
      <c r="J94" s="24">
        <f ca="1">OFFSET(FTRA!N$131,$E94,0)</f>
        <v>1.74</v>
      </c>
      <c r="K94" s="24">
        <f ca="1">OFFSET(FTRA!O$131,$E94,0)</f>
        <v>1.78</v>
      </c>
      <c r="L94" s="24">
        <f ca="1">OFFSET(FTRA!P$131,$E94,0)</f>
        <v>1.7154258338741826</v>
      </c>
      <c r="M94" s="24">
        <f ca="1">OFFSET(FTRA!Q$131,$E94,0)</f>
        <v>1.6508516677483651</v>
      </c>
      <c r="N94" s="24">
        <f ca="1">OFFSET(FTRA!R$131,$E94,0)</f>
        <v>1.5862775016225477</v>
      </c>
      <c r="O94" s="234">
        <f ca="1">OFFSET(FTRA!S$131,$E94,0)</f>
        <v>1.6145757346145242</v>
      </c>
      <c r="P94" s="24">
        <f ca="1">OFFSET(FTRA!T$131,$E94,0)</f>
        <v>1.6428739676065007</v>
      </c>
      <c r="Q94" s="24">
        <f ca="1">OFFSET(FTRA!U$131,$E94,0)</f>
        <v>1.6711722005984773</v>
      </c>
      <c r="R94" s="24">
        <f ca="1">OFFSET(FTRA!V$131,$E94,0)</f>
        <v>1.6994704335904538</v>
      </c>
      <c r="S94" s="24">
        <f ca="1">OFFSET(FTRA!W$131,$E94,0)</f>
        <v>1.7277686665824303</v>
      </c>
      <c r="T94" s="234">
        <f ca="1">OFFSET(FTRA!X$131,$E94,0)</f>
        <v>1.7560668995744069</v>
      </c>
      <c r="U94" s="24">
        <f ca="1">OFFSET(FTRA!Y$131,$E94,0)</f>
        <v>1.7843651325663834</v>
      </c>
      <c r="V94" s="24">
        <f ca="1">OFFSET(FTRA!Z$131,$E94,0)</f>
        <v>1.8126633655583599</v>
      </c>
      <c r="W94" s="24">
        <f ca="1">OFFSET(FTRA!AA$131,$E94,0)</f>
        <v>1.8409615985503365</v>
      </c>
      <c r="X94" s="24">
        <f ca="1">OFFSET(FTRA!AB$131,$E94,0)</f>
        <v>1.8692598315423132</v>
      </c>
      <c r="Y94" s="246">
        <f ca="1">OFFSET(FTRA!AC$131,$E94,0)</f>
        <v>1.9162682244116578</v>
      </c>
      <c r="Z94" s="24">
        <f ca="1">OFFSET(FTRA!AD$131,$E94,0)</f>
        <v>1.9632766172810023</v>
      </c>
      <c r="AA94" s="24">
        <f ca="1">OFFSET(FTRA!AE$131,$E94,0)</f>
        <v>2.0102850101503469</v>
      </c>
      <c r="AB94" s="24">
        <f ca="1">OFFSET(FTRA!AF$131,$E94,0)</f>
        <v>2.0572934030196914</v>
      </c>
      <c r="AC94" s="24">
        <f ca="1">OFFSET(FTRA!AG$131,$E94,0)</f>
        <v>2.104301795889036</v>
      </c>
      <c r="AD94" s="24">
        <f ca="1">OFFSET(FTRA!AH$131,$E94,0)</f>
        <v>2.1513101887583805</v>
      </c>
      <c r="AE94" s="24">
        <f ca="1">OFFSET(FTRA!AI$131,$E94,0)</f>
        <v>2.1983185816277251</v>
      </c>
      <c r="AF94" s="24">
        <f ca="1">OFFSET(FTRA!AJ$131,$E94,0)</f>
        <v>2.2453269744970696</v>
      </c>
      <c r="AG94" s="24">
        <f ca="1">OFFSET(FTRA!AK$131,$E94,0)</f>
        <v>2.2923353673664142</v>
      </c>
      <c r="AH94" s="24">
        <f ca="1">OFFSET(FTRA!AL$131,$E94,0)</f>
        <v>2.3393437602357587</v>
      </c>
      <c r="AI94" s="24">
        <f ca="1">OFFSET(FTRA!AM$131,$E94,0)</f>
        <v>2.6821742627231799</v>
      </c>
      <c r="AJ94" s="24">
        <f ca="1">OFFSET(FTRA!AN$131,$E94,0)</f>
        <v>3.0250047652106011</v>
      </c>
      <c r="AK94" s="24">
        <f ca="1">OFFSET(FTRA!AO$131,$E94,0)</f>
        <v>3.0250047652106011</v>
      </c>
      <c r="AL94" s="24">
        <f ca="1">OFFSET(FTRA!AP$131,$E94,0)</f>
        <v>3.0250047652106011</v>
      </c>
      <c r="AM94" s="24">
        <f ca="1">OFFSET(FTRA!AQ$131,$E94,0)</f>
        <v>0</v>
      </c>
    </row>
    <row r="95" spans="1:39" s="4" customFormat="1">
      <c r="A95" s="36" t="s">
        <v>424</v>
      </c>
      <c r="B95" s="24">
        <v>0</v>
      </c>
      <c r="E95" s="152">
        <f>MATCH(F95,FTRA!$D$132:$D$144,0)</f>
        <v>9</v>
      </c>
      <c r="F95" s="4" t="str">
        <f t="shared" si="3"/>
        <v>TFHCV8</v>
      </c>
      <c r="G95" s="24">
        <f ca="1">OFFSET(FTRA!K$131,$E95,0)</f>
        <v>6.5622085483256903E-2</v>
      </c>
      <c r="H95" s="24">
        <f ca="1">OFFSET(FTRA!L$131,$E95,0)</f>
        <v>7.2758014044539868E-2</v>
      </c>
      <c r="I95" s="24">
        <f ca="1">OFFSET(FTRA!M$131,$E95,0)</f>
        <v>7.9893942605822804E-2</v>
      </c>
      <c r="J95" s="24">
        <f ca="1">OFFSET(FTRA!N$131,$E95,0)</f>
        <v>9.0970063028559395E-2</v>
      </c>
      <c r="K95" s="24">
        <f ca="1">OFFSET(FTRA!O$131,$E95,0)</f>
        <v>0.102046183451296</v>
      </c>
      <c r="L95" s="24">
        <f ca="1">OFFSET(FTRA!P$131,$E95,0)</f>
        <v>8.7787356992028109E-2</v>
      </c>
      <c r="M95" s="24">
        <f ca="1">OFFSET(FTRA!Q$131,$E95,0)</f>
        <v>7.3528530532760233E-2</v>
      </c>
      <c r="N95" s="24">
        <f ca="1">OFFSET(FTRA!R$131,$E95,0)</f>
        <v>5.9269704073492351E-2</v>
      </c>
      <c r="O95" s="234">
        <f ca="1">OFFSET(FTRA!S$131,$E95,0)</f>
        <v>6.0327039812996697E-2</v>
      </c>
      <c r="P95" s="24">
        <f ca="1">OFFSET(FTRA!T$131,$E95,0)</f>
        <v>6.138437555250105E-2</v>
      </c>
      <c r="Q95" s="24">
        <f ca="1">OFFSET(FTRA!U$131,$E95,0)</f>
        <v>6.2441711292005403E-2</v>
      </c>
      <c r="R95" s="24">
        <f ca="1">OFFSET(FTRA!V$131,$E95,0)</f>
        <v>6.3499047031509756E-2</v>
      </c>
      <c r="S95" s="24">
        <f ca="1">OFFSET(FTRA!W$131,$E95,0)</f>
        <v>6.4556382771014109E-2</v>
      </c>
      <c r="T95" s="234">
        <f ca="1">OFFSET(FTRA!X$131,$E95,0)</f>
        <v>6.5613718510518462E-2</v>
      </c>
      <c r="U95" s="24">
        <f ca="1">OFFSET(FTRA!Y$131,$E95,0)</f>
        <v>6.6671054250022815E-2</v>
      </c>
      <c r="V95" s="24">
        <f ca="1">OFFSET(FTRA!Z$131,$E95,0)</f>
        <v>6.7728389989527168E-2</v>
      </c>
      <c r="W95" s="24">
        <f ca="1">OFFSET(FTRA!AA$131,$E95,0)</f>
        <v>6.8785725729031522E-2</v>
      </c>
      <c r="X95" s="24">
        <f ca="1">OFFSET(FTRA!AB$131,$E95,0)</f>
        <v>6.9843061468535847E-2</v>
      </c>
      <c r="Y95" s="246">
        <f ca="1">OFFSET(FTRA!AC$131,$E95,0)</f>
        <v>7.1599483993274829E-2</v>
      </c>
      <c r="Z95" s="24">
        <f ca="1">OFFSET(FTRA!AD$131,$E95,0)</f>
        <v>7.3355906518013811E-2</v>
      </c>
      <c r="AA95" s="24">
        <f ca="1">OFFSET(FTRA!AE$131,$E95,0)</f>
        <v>7.5112329042752793E-2</v>
      </c>
      <c r="AB95" s="24">
        <f ca="1">OFFSET(FTRA!AF$131,$E95,0)</f>
        <v>7.6868751567491775E-2</v>
      </c>
      <c r="AC95" s="24">
        <f ca="1">OFFSET(FTRA!AG$131,$E95,0)</f>
        <v>7.8625174092230757E-2</v>
      </c>
      <c r="AD95" s="24">
        <f ca="1">OFFSET(FTRA!AH$131,$E95,0)</f>
        <v>8.0381596616969739E-2</v>
      </c>
      <c r="AE95" s="24">
        <f ca="1">OFFSET(FTRA!AI$131,$E95,0)</f>
        <v>8.2138019141708721E-2</v>
      </c>
      <c r="AF95" s="24">
        <f ca="1">OFFSET(FTRA!AJ$131,$E95,0)</f>
        <v>8.3894441666447703E-2</v>
      </c>
      <c r="AG95" s="24">
        <f ca="1">OFFSET(FTRA!AK$131,$E95,0)</f>
        <v>8.5650864191186685E-2</v>
      </c>
      <c r="AH95" s="24">
        <f ca="1">OFFSET(FTRA!AL$131,$E95,0)</f>
        <v>8.7407286715925653E-2</v>
      </c>
      <c r="AI95" s="24">
        <f ca="1">OFFSET(FTRA!AM$131,$E95,0)</f>
        <v>0.10021681241934896</v>
      </c>
      <c r="AJ95" s="24">
        <f ca="1">OFFSET(FTRA!AN$131,$E95,0)</f>
        <v>0.11302633812277227</v>
      </c>
      <c r="AK95" s="24">
        <f ca="1">OFFSET(FTRA!AO$131,$E95,0)</f>
        <v>0.11302633812277227</v>
      </c>
      <c r="AL95" s="24">
        <f ca="1">OFFSET(FTRA!AP$131,$E95,0)</f>
        <v>0.11302633812277227</v>
      </c>
      <c r="AM95" s="24">
        <f ca="1">OFFSET(FTRA!AQ$131,$E95,0)</f>
        <v>0</v>
      </c>
    </row>
    <row r="96" spans="1:39">
      <c r="A96" s="36" t="s">
        <v>425</v>
      </c>
      <c r="B96" s="24">
        <v>4.2946824044977329E-2</v>
      </c>
      <c r="E96" s="152">
        <f>MATCH(F96,FTRA!$D$132:$D$144,0)</f>
        <v>10</v>
      </c>
      <c r="F96" s="4" t="str">
        <f t="shared" si="3"/>
        <v>TFHCV9</v>
      </c>
      <c r="G96" s="24">
        <f ca="1">OFFSET(FTRA!K$131,$E96,0)</f>
        <v>3.4102559292729893E-2</v>
      </c>
      <c r="H96" s="24">
        <f ca="1">OFFSET(FTRA!L$131,$E96,0)</f>
        <v>2.8235745635144794E-2</v>
      </c>
      <c r="I96" s="24">
        <f ca="1">OFFSET(FTRA!M$131,$E96,0)</f>
        <v>2.2368931977559604E-2</v>
      </c>
      <c r="J96" s="24">
        <f ca="1">OFFSET(FTRA!N$131,$E96,0)</f>
        <v>2.2519965988779801E-2</v>
      </c>
      <c r="K96" s="24">
        <f ca="1">OFFSET(FTRA!O$131,$E96,0)</f>
        <v>2.2670999999999997E-2</v>
      </c>
      <c r="L96" s="24">
        <f ca="1">OFFSET(FTRA!P$131,$E96,0)</f>
        <v>2.8615616060068422E-2</v>
      </c>
      <c r="M96" s="24">
        <f ca="1">OFFSET(FTRA!Q$131,$E96,0)</f>
        <v>3.4560232120136848E-2</v>
      </c>
      <c r="N96" s="24">
        <f ca="1">OFFSET(FTRA!R$131,$E96,0)</f>
        <v>4.050484818020527E-2</v>
      </c>
      <c r="O96" s="234">
        <f ca="1">OFFSET(FTRA!S$131,$E96,0)</f>
        <v>4.122743021893157E-2</v>
      </c>
      <c r="P96" s="24">
        <f ca="1">OFFSET(FTRA!T$131,$E96,0)</f>
        <v>4.1950012257657869E-2</v>
      </c>
      <c r="Q96" s="24">
        <f ca="1">OFFSET(FTRA!U$131,$E96,0)</f>
        <v>4.2672594296384168E-2</v>
      </c>
      <c r="R96" s="24">
        <f ca="1">OFFSET(FTRA!V$131,$E96,0)</f>
        <v>4.3395176335110468E-2</v>
      </c>
      <c r="S96" s="24">
        <f ca="1">OFFSET(FTRA!W$131,$E96,0)</f>
        <v>4.4117758373836767E-2</v>
      </c>
      <c r="T96" s="234">
        <f ca="1">OFFSET(FTRA!X$131,$E96,0)</f>
        <v>4.4840340412563066E-2</v>
      </c>
      <c r="U96" s="24">
        <f ca="1">OFFSET(FTRA!Y$131,$E96,0)</f>
        <v>4.5562922451289366E-2</v>
      </c>
      <c r="V96" s="24">
        <f ca="1">OFFSET(FTRA!Z$131,$E96,0)</f>
        <v>4.6285504490015665E-2</v>
      </c>
      <c r="W96" s="24">
        <f ca="1">OFFSET(FTRA!AA$131,$E96,0)</f>
        <v>4.7008086528741964E-2</v>
      </c>
      <c r="X96" s="24">
        <f ca="1">OFFSET(FTRA!AB$131,$E96,0)</f>
        <v>4.7730668567468292E-2</v>
      </c>
      <c r="Y96" s="246">
        <f ca="1">OFFSET(FTRA!AC$131,$E96,0)</f>
        <v>4.893100571807444E-2</v>
      </c>
      <c r="Z96" s="24">
        <f ca="1">OFFSET(FTRA!AD$131,$E96,0)</f>
        <v>5.0131342868680588E-2</v>
      </c>
      <c r="AA96" s="24">
        <f ca="1">OFFSET(FTRA!AE$131,$E96,0)</f>
        <v>5.1331680019286736E-2</v>
      </c>
      <c r="AB96" s="24">
        <f ca="1">OFFSET(FTRA!AF$131,$E96,0)</f>
        <v>5.2532017169892885E-2</v>
      </c>
      <c r="AC96" s="24">
        <f ca="1">OFFSET(FTRA!AG$131,$E96,0)</f>
        <v>5.3732354320499033E-2</v>
      </c>
      <c r="AD96" s="24">
        <f ca="1">OFFSET(FTRA!AH$131,$E96,0)</f>
        <v>5.4932691471105181E-2</v>
      </c>
      <c r="AE96" s="24">
        <f ca="1">OFFSET(FTRA!AI$131,$E96,0)</f>
        <v>5.613302862171133E-2</v>
      </c>
      <c r="AF96" s="24">
        <f ca="1">OFFSET(FTRA!AJ$131,$E96,0)</f>
        <v>5.7333365772317478E-2</v>
      </c>
      <c r="AG96" s="24">
        <f ca="1">OFFSET(FTRA!AK$131,$E96,0)</f>
        <v>5.8533702922923626E-2</v>
      </c>
      <c r="AH96" s="24">
        <f ca="1">OFFSET(FTRA!AL$131,$E96,0)</f>
        <v>5.9734040073529754E-2</v>
      </c>
      <c r="AI96" s="24">
        <f ca="1">OFFSET(FTRA!AM$131,$E96,0)</f>
        <v>6.848805533289809E-2</v>
      </c>
      <c r="AJ96" s="24">
        <f ca="1">OFFSET(FTRA!AN$131,$E96,0)</f>
        <v>7.724207059226644E-2</v>
      </c>
      <c r="AK96" s="24">
        <f ca="1">OFFSET(FTRA!AO$131,$E96,0)</f>
        <v>7.724207059226644E-2</v>
      </c>
      <c r="AL96" s="24">
        <f ca="1">OFFSET(FTRA!AP$131,$E96,0)</f>
        <v>7.724207059226644E-2</v>
      </c>
      <c r="AM96" s="24">
        <f ca="1">OFFSET(FTRA!AQ$131,$E96,0)</f>
        <v>0</v>
      </c>
    </row>
    <row r="97" spans="1:39">
      <c r="A97" s="36" t="s">
        <v>383</v>
      </c>
      <c r="B97">
        <v>28</v>
      </c>
      <c r="E97" s="152">
        <f>MATCH(F97,FTRA!$D$132:$D$144,0)</f>
        <v>11</v>
      </c>
      <c r="F97" s="4" t="str">
        <f t="shared" si="1"/>
        <v>TFRCO</v>
      </c>
      <c r="G97" s="24">
        <f ca="1">OFFSET(FTRA!K$131,$E97,0)</f>
        <v>22.352445526032653</v>
      </c>
      <c r="H97" s="24">
        <f ca="1">OFFSET(FTRA!L$131,$E97,0)</f>
        <v>22.704891052065307</v>
      </c>
      <c r="I97" s="24">
        <f ca="1">OFFSET(FTRA!M$131,$E97,0)</f>
        <v>23.057336578097956</v>
      </c>
      <c r="J97" s="24">
        <f ca="1">OFFSET(FTRA!N$131,$E97,0)</f>
        <v>23.249070137552081</v>
      </c>
      <c r="K97" s="24">
        <f ca="1">OFFSET(FTRA!O$131,$E97,0)</f>
        <v>23.44080369700621</v>
      </c>
      <c r="L97" s="24">
        <f ca="1">OFFSET(FTRA!P$131,$E97,0)</f>
        <v>23.058781481202889</v>
      </c>
      <c r="M97" s="24">
        <f ca="1">OFFSET(FTRA!Q$131,$E97,0)</f>
        <v>22.676759265399568</v>
      </c>
      <c r="N97" s="24">
        <f ca="1">OFFSET(FTRA!R$131,$E97,0)</f>
        <v>22.294737049596247</v>
      </c>
      <c r="O97" s="234">
        <f ca="1">OFFSET(FTRA!S$131,$E97,0)</f>
        <v>22.692461699210831</v>
      </c>
      <c r="P97" s="24">
        <f ca="1">OFFSET(FTRA!T$131,$E97,0)</f>
        <v>23.090186348825416</v>
      </c>
      <c r="Q97" s="24">
        <f ca="1">OFFSET(FTRA!U$131,$E97,0)</f>
        <v>23.48791099844</v>
      </c>
      <c r="R97" s="24">
        <f ca="1">OFFSET(FTRA!V$131,$E97,0)</f>
        <v>23.885635648054585</v>
      </c>
      <c r="S97" s="24">
        <f ca="1">OFFSET(FTRA!W$131,$E97,0)</f>
        <v>24.283360297669169</v>
      </c>
      <c r="T97" s="234">
        <f ca="1">OFFSET(FTRA!X$131,$E97,0)</f>
        <v>24.681084947283754</v>
      </c>
      <c r="U97" s="24">
        <f ca="1">OFFSET(FTRA!Y$131,$E97,0)</f>
        <v>25.078809596898338</v>
      </c>
      <c r="V97" s="24">
        <f ca="1">OFFSET(FTRA!Z$131,$E97,0)</f>
        <v>25.476534246512923</v>
      </c>
      <c r="W97" s="24">
        <f ca="1">OFFSET(FTRA!AA$131,$E97,0)</f>
        <v>25.874258896127508</v>
      </c>
      <c r="X97" s="24">
        <f ca="1">OFFSET(FTRA!AB$131,$E97,0)</f>
        <v>26.271983545742096</v>
      </c>
      <c r="Y97" s="246">
        <f ca="1">OFFSET(FTRA!AC$131,$E97,0)</f>
        <v>26.932674854213751</v>
      </c>
      <c r="Z97" s="24">
        <f ca="1">OFFSET(FTRA!AD$131,$E97,0)</f>
        <v>27.593366162685406</v>
      </c>
      <c r="AA97" s="24">
        <f ca="1">OFFSET(FTRA!AE$131,$E97,0)</f>
        <v>28.254057471157061</v>
      </c>
      <c r="AB97" s="24">
        <f ca="1">OFFSET(FTRA!AF$131,$E97,0)</f>
        <v>28.914748779628717</v>
      </c>
      <c r="AC97" s="24">
        <f ca="1">OFFSET(FTRA!AG$131,$E97,0)</f>
        <v>29.575440088100372</v>
      </c>
      <c r="AD97" s="24">
        <f ca="1">OFFSET(FTRA!AH$131,$E97,0)</f>
        <v>30.236131396572027</v>
      </c>
      <c r="AE97" s="24">
        <f ca="1">OFFSET(FTRA!AI$131,$E97,0)</f>
        <v>30.896822705043682</v>
      </c>
      <c r="AF97" s="24">
        <f ca="1">OFFSET(FTRA!AJ$131,$E97,0)</f>
        <v>31.557514013515338</v>
      </c>
      <c r="AG97" s="24">
        <f ca="1">OFFSET(FTRA!AK$131,$E97,0)</f>
        <v>32.218205321986993</v>
      </c>
      <c r="AH97" s="24">
        <f ca="1">OFFSET(FTRA!AL$131,$E97,0)</f>
        <v>32.878896630458662</v>
      </c>
      <c r="AI97" s="24">
        <f ca="1">OFFSET(FTRA!AM$131,$E97,0)</f>
        <v>37.697294355774659</v>
      </c>
      <c r="AJ97" s="24">
        <f ca="1">OFFSET(FTRA!AN$131,$E97,0)</f>
        <v>42.515692081090634</v>
      </c>
      <c r="AK97" s="24">
        <f ca="1">OFFSET(FTRA!AO$131,$E97,0)</f>
        <v>42.515692081090634</v>
      </c>
      <c r="AL97" s="24">
        <f ca="1">OFFSET(FTRA!AP$131,$E97,0)</f>
        <v>42.515692081090634</v>
      </c>
      <c r="AM97" s="24">
        <f ca="1">OFFSET(FTRA!AQ$131,$E97,0)</f>
        <v>0</v>
      </c>
    </row>
    <row r="98" spans="1:39">
      <c r="A98" s="36" t="s">
        <v>385</v>
      </c>
      <c r="B98">
        <v>26</v>
      </c>
      <c r="E98" s="154">
        <f>MATCH(F98,FTRA!$D$132:$D$144,0)</f>
        <v>12</v>
      </c>
      <c r="F98" s="4" t="str">
        <f>A98</f>
        <v>TFROT</v>
      </c>
      <c r="G98" s="24">
        <f ca="1">OFFSET(FTRA!K$131,$E98,0)</f>
        <v>25.50210830470089</v>
      </c>
      <c r="H98" s="24">
        <f ca="1">OFFSET(FTRA!L$131,$E98,0)</f>
        <v>25.904216609401782</v>
      </c>
      <c r="I98" s="24">
        <f ca="1">OFFSET(FTRA!M$131,$E98,0)</f>
        <v>26.306324914102674</v>
      </c>
      <c r="J98" s="24">
        <f ca="1">OFFSET(FTRA!N$131,$E98,0)</f>
        <v>26.525075475116246</v>
      </c>
      <c r="K98" s="24">
        <f ca="1">OFFSET(FTRA!O$131,$E98,0)</f>
        <v>26.743826036129818</v>
      </c>
      <c r="L98" s="24">
        <f ca="1">OFFSET(FTRA!P$131,$E98,0)</f>
        <v>26.307973417190574</v>
      </c>
      <c r="M98" s="24">
        <f ca="1">OFFSET(FTRA!Q$131,$E98,0)</f>
        <v>25.872120798251331</v>
      </c>
      <c r="N98" s="24">
        <f ca="1">OFFSET(FTRA!R$131,$E98,0)</f>
        <v>25.436268179312087</v>
      </c>
      <c r="O98" s="234">
        <f ca="1">OFFSET(FTRA!S$131,$E98,0)</f>
        <v>25.890035847736002</v>
      </c>
      <c r="P98" s="24">
        <f ca="1">OFFSET(FTRA!T$131,$E98,0)</f>
        <v>26.343803516159916</v>
      </c>
      <c r="Q98" s="24">
        <f ca="1">OFFSET(FTRA!U$131,$E98,0)</f>
        <v>26.79757118458383</v>
      </c>
      <c r="R98" s="24">
        <f ca="1">OFFSET(FTRA!V$131,$E98,0)</f>
        <v>27.251338853007745</v>
      </c>
      <c r="S98" s="24">
        <f ca="1">OFFSET(FTRA!W$131,$E98,0)</f>
        <v>27.705106521431659</v>
      </c>
      <c r="T98" s="234">
        <f ca="1">OFFSET(FTRA!X$131,$E98,0)</f>
        <v>28.158874189855574</v>
      </c>
      <c r="U98" s="24">
        <f ca="1">OFFSET(FTRA!Y$131,$E98,0)</f>
        <v>28.612641858279488</v>
      </c>
      <c r="V98" s="24">
        <f ca="1">OFFSET(FTRA!Z$131,$E98,0)</f>
        <v>29.066409526703403</v>
      </c>
      <c r="W98" s="24">
        <f ca="1">OFFSET(FTRA!AA$131,$E98,0)</f>
        <v>29.520177195127317</v>
      </c>
      <c r="X98" s="24">
        <f ca="1">OFFSET(FTRA!AB$131,$E98,0)</f>
        <v>29.973944863551218</v>
      </c>
      <c r="Y98" s="246">
        <f ca="1">OFFSET(FTRA!AC$131,$E98,0)</f>
        <v>30.727733583671153</v>
      </c>
      <c r="Z98" s="24">
        <f ca="1">OFFSET(FTRA!AD$131,$E98,0)</f>
        <v>31.481522303791088</v>
      </c>
      <c r="AA98" s="24">
        <f ca="1">OFFSET(FTRA!AE$131,$E98,0)</f>
        <v>32.235311023911024</v>
      </c>
      <c r="AB98" s="24">
        <f ca="1">OFFSET(FTRA!AF$131,$E98,0)</f>
        <v>32.989099744030959</v>
      </c>
      <c r="AC98" s="24">
        <f ca="1">OFFSET(FTRA!AG$131,$E98,0)</f>
        <v>33.742888464150894</v>
      </c>
      <c r="AD98" s="24">
        <f ca="1">OFFSET(FTRA!AH$131,$E98,0)</f>
        <v>34.49667718427083</v>
      </c>
      <c r="AE98" s="24">
        <f ca="1">OFFSET(FTRA!AI$131,$E98,0)</f>
        <v>35.250465904390765</v>
      </c>
      <c r="AF98" s="24">
        <f ca="1">OFFSET(FTRA!AJ$131,$E98,0)</f>
        <v>36.0042546245107</v>
      </c>
      <c r="AG98" s="24">
        <f ca="1">OFFSET(FTRA!AK$131,$E98,0)</f>
        <v>36.758043344630636</v>
      </c>
      <c r="AH98" s="24">
        <f ca="1">OFFSET(FTRA!AL$131,$E98,0)</f>
        <v>37.511832064750578</v>
      </c>
      <c r="AI98" s="24">
        <f ca="1">OFFSET(FTRA!AM$131,$E98,0)</f>
        <v>43.009185833179259</v>
      </c>
      <c r="AJ98" s="24">
        <f ca="1">OFFSET(FTRA!AN$131,$E98,0)</f>
        <v>48.506539601607962</v>
      </c>
      <c r="AK98" s="24">
        <f ca="1">OFFSET(FTRA!AO$131,$E98,0)</f>
        <v>48.506539601607962</v>
      </c>
      <c r="AL98" s="24">
        <f ca="1">OFFSET(FTRA!AP$131,$E98,0)</f>
        <v>48.506539601607962</v>
      </c>
      <c r="AM98" s="24">
        <f ca="1">OFFSET(FTRA!AQ$131,$E98,0)</f>
        <v>0</v>
      </c>
    </row>
    <row r="99" spans="1:39">
      <c r="A99" s="36" t="s">
        <v>384</v>
      </c>
      <c r="B99">
        <v>67</v>
      </c>
      <c r="E99" s="153">
        <f>MATCH(F99,FTRA!$D$132:$D$144,0)</f>
        <v>13</v>
      </c>
      <c r="F99" s="4" t="str">
        <f t="shared" si="1"/>
        <v>TFREX</v>
      </c>
      <c r="G99" s="24">
        <f ca="1">OFFSET(FTRA!K$131,$E99,0)</f>
        <v>82</v>
      </c>
      <c r="H99" s="24">
        <f ca="1">OFFSET(FTRA!L$131,$E99,0)</f>
        <v>82</v>
      </c>
      <c r="I99" s="24">
        <f ca="1">OFFSET(FTRA!M$131,$E99,0)</f>
        <v>82</v>
      </c>
      <c r="J99" s="24">
        <f ca="1">OFFSET(FTRA!N$131,$E99,0)</f>
        <v>82</v>
      </c>
      <c r="K99" s="24">
        <f ca="1">OFFSET(FTRA!O$131,$E99,0)</f>
        <v>82</v>
      </c>
      <c r="L99" s="24">
        <f ca="1">OFFSET(FTRA!P$131,$E99,0)</f>
        <v>79.765410049200213</v>
      </c>
      <c r="M99" s="24">
        <f ca="1">OFFSET(FTRA!Q$131,$E99,0)</f>
        <v>77.530820098400426</v>
      </c>
      <c r="N99" s="24">
        <f ca="1">OFFSET(FTRA!R$131,$E99,0)</f>
        <v>75.296230147600639</v>
      </c>
      <c r="O99" s="234">
        <f ca="1">OFFSET(FTRA!S$131,$E99,0)</f>
        <v>76.570694839865482</v>
      </c>
      <c r="P99" s="24">
        <f ca="1">OFFSET(FTRA!T$131,$E99,0)</f>
        <v>77.845159532130324</v>
      </c>
      <c r="Q99" s="24">
        <f ca="1">OFFSET(FTRA!U$131,$E99,0)</f>
        <v>79.119624224395167</v>
      </c>
      <c r="R99" s="24">
        <f ca="1">OFFSET(FTRA!V$131,$E99,0)</f>
        <v>80.39408891666001</v>
      </c>
      <c r="S99" s="24">
        <f ca="1">OFFSET(FTRA!W$131,$E99,0)</f>
        <v>81.668553608924853</v>
      </c>
      <c r="T99" s="234">
        <f ca="1">OFFSET(FTRA!X$131,$E99,0)</f>
        <v>82.943018301189696</v>
      </c>
      <c r="U99" s="24">
        <f ca="1">OFFSET(FTRA!Y$131,$E99,0)</f>
        <v>84.217482993454539</v>
      </c>
      <c r="V99" s="24">
        <f ca="1">OFFSET(FTRA!Z$131,$E99,0)</f>
        <v>85.491947685719381</v>
      </c>
      <c r="W99" s="24">
        <f ca="1">OFFSET(FTRA!AA$131,$E99,0)</f>
        <v>86.766412377984224</v>
      </c>
      <c r="X99" s="24">
        <f ca="1">OFFSET(FTRA!AB$131,$E99,0)</f>
        <v>88.040877070249081</v>
      </c>
      <c r="Y99" s="246">
        <f ca="1">OFFSET(FTRA!AC$131,$E99,0)</f>
        <v>89.889451104345511</v>
      </c>
      <c r="Z99" s="24">
        <f ca="1">OFFSET(FTRA!AD$131,$E99,0)</f>
        <v>91.738025138441941</v>
      </c>
      <c r="AA99" s="24">
        <f ca="1">OFFSET(FTRA!AE$131,$E99,0)</f>
        <v>93.586599172538371</v>
      </c>
      <c r="AB99" s="24">
        <f ca="1">OFFSET(FTRA!AF$131,$E99,0)</f>
        <v>95.435173206634801</v>
      </c>
      <c r="AC99" s="24">
        <f ca="1">OFFSET(FTRA!AG$131,$E99,0)</f>
        <v>97.28374724073123</v>
      </c>
      <c r="AD99" s="24">
        <f ca="1">OFFSET(FTRA!AH$131,$E99,0)</f>
        <v>99.13232127482766</v>
      </c>
      <c r="AE99" s="24">
        <f ca="1">OFFSET(FTRA!AI$131,$E99,0)</f>
        <v>100.98089530892409</v>
      </c>
      <c r="AF99" s="24">
        <f ca="1">OFFSET(FTRA!AJ$131,$E99,0)</f>
        <v>102.82946934302052</v>
      </c>
      <c r="AG99" s="24">
        <f ca="1">OFFSET(FTRA!AK$131,$E99,0)</f>
        <v>104.67804337711695</v>
      </c>
      <c r="AH99" s="24">
        <f ca="1">OFFSET(FTRA!AL$131,$E99,0)</f>
        <v>106.52661741121335</v>
      </c>
      <c r="AI99" s="24">
        <f ca="1">OFFSET(FTRA!AM$131,$E99,0)</f>
        <v>118.056857121503</v>
      </c>
      <c r="AJ99" s="24">
        <f ca="1">OFFSET(FTRA!AN$131,$E99,0)</f>
        <v>129.58709683179265</v>
      </c>
      <c r="AK99" s="24">
        <f ca="1">OFFSET(FTRA!AO$131,$E99,0)</f>
        <v>129.58709683179265</v>
      </c>
      <c r="AL99" s="24">
        <f ca="1">OFFSET(FTRA!AP$131,$E99,0)</f>
        <v>129.58709683179265</v>
      </c>
      <c r="AM99" s="24">
        <f ca="1">OFFSET(FTRA!AQ$131,$E99,0)</f>
        <v>0</v>
      </c>
    </row>
    <row r="100" spans="1:39">
      <c r="A100" s="36" t="s">
        <v>128</v>
      </c>
      <c r="B100">
        <v>73.203613436309993</v>
      </c>
      <c r="E100" s="152">
        <f>MATCH(F100,PTRA!$D$214:$D$221,0)</f>
        <v>1</v>
      </c>
      <c r="F100" s="4" t="str">
        <f t="shared" si="1"/>
        <v>TPPRCAR</v>
      </c>
      <c r="G100" s="24">
        <f ca="1">OFFSET(PTRA!K$213,$E100,0)</f>
        <v>85.54172511414879</v>
      </c>
      <c r="H100" s="24">
        <f ca="1">OFFSET(PTRA!L$213,$E100,0)</f>
        <v>87.637712454478262</v>
      </c>
      <c r="I100" s="24">
        <f ca="1">OFFSET(PTRA!M$213,$E100,0)</f>
        <v>89.733699794807748</v>
      </c>
      <c r="J100" s="24">
        <f ca="1">OFFSET(PTRA!N$213,$E100,0)</f>
        <v>91.34378277811355</v>
      </c>
      <c r="K100" s="24">
        <f ca="1">OFFSET(PTRA!O$213,$E100,0)</f>
        <v>92.953865761419351</v>
      </c>
      <c r="L100" s="24">
        <f ca="1">OFFSET(PTRA!P$213,$E100,0)</f>
        <v>92.993219954019722</v>
      </c>
      <c r="M100" s="24">
        <f ca="1">OFFSET(PTRA!Q$213,$E100,0)</f>
        <v>93.032574146620092</v>
      </c>
      <c r="N100" s="24">
        <f ca="1">OFFSET(PTRA!R$213,$E100,0)</f>
        <v>93.071928339220463</v>
      </c>
      <c r="O100" s="234">
        <f ca="1">OFFSET(PTRA!S$213,$E100,0)</f>
        <v>95.674160250331909</v>
      </c>
      <c r="P100" s="24">
        <f ca="1">OFFSET(PTRA!T$213,$E100,0)</f>
        <v>98.276392161443354</v>
      </c>
      <c r="Q100" s="24">
        <f ca="1">OFFSET(PTRA!U$213,$E100,0)</f>
        <v>100.8786240725548</v>
      </c>
      <c r="R100" s="24">
        <f ca="1">OFFSET(PTRA!V$213,$E100,0)</f>
        <v>103.48085598366625</v>
      </c>
      <c r="S100" s="24">
        <f ca="1">OFFSET(PTRA!W$213,$E100,0)</f>
        <v>106.08308789477769</v>
      </c>
      <c r="T100" s="234">
        <f ca="1">OFFSET(PTRA!X$213,$E100,0)</f>
        <v>108.68531980588914</v>
      </c>
      <c r="U100" s="24">
        <f ca="1">OFFSET(PTRA!Y$213,$E100,0)</f>
        <v>111.28755171700058</v>
      </c>
      <c r="V100" s="24">
        <f ca="1">OFFSET(PTRA!Z$213,$E100,0)</f>
        <v>113.88978362811203</v>
      </c>
      <c r="W100" s="24">
        <f ca="1">OFFSET(PTRA!AA$213,$E100,0)</f>
        <v>116.49201553922347</v>
      </c>
      <c r="X100" s="24">
        <f ca="1">OFFSET(PTRA!AB$213,$E100,0)</f>
        <v>119.09424745033492</v>
      </c>
      <c r="Y100" s="246">
        <f ca="1">OFFSET(PTRA!AC$213,$E100,0)</f>
        <v>123.09406375249645</v>
      </c>
      <c r="Z100" s="24">
        <f ca="1">OFFSET(PTRA!AD$213,$E100,0)</f>
        <v>127.093880054658</v>
      </c>
      <c r="AA100" s="24">
        <f ca="1">OFFSET(PTRA!AE$213,$E100,0)</f>
        <v>131.09369635681955</v>
      </c>
      <c r="AB100" s="24">
        <f ca="1">OFFSET(PTRA!AF$213,$E100,0)</f>
        <v>135.0935126589811</v>
      </c>
      <c r="AC100" s="24">
        <f ca="1">OFFSET(PTRA!AG$213,$E100,0)</f>
        <v>139.09332896114265</v>
      </c>
      <c r="AD100" s="24">
        <f ca="1">OFFSET(PTRA!AH$213,$E100,0)</f>
        <v>143.09314526330419</v>
      </c>
      <c r="AE100" s="24">
        <f ca="1">OFFSET(PTRA!AI$213,$E100,0)</f>
        <v>147.09296156546574</v>
      </c>
      <c r="AF100" s="24">
        <f ca="1">OFFSET(PTRA!AJ$213,$E100,0)</f>
        <v>151.09277786762729</v>
      </c>
      <c r="AG100" s="24">
        <f ca="1">OFFSET(PTRA!AK$213,$E100,0)</f>
        <v>155.09259416978884</v>
      </c>
      <c r="AH100" s="24">
        <f ca="1">OFFSET(PTRA!AL$213,$E100,0)</f>
        <v>159.09241047195033</v>
      </c>
      <c r="AI100" s="24">
        <f ca="1">OFFSET(PTRA!AM$213,$E100,0)</f>
        <v>183.51622786685559</v>
      </c>
      <c r="AJ100" s="24">
        <f ca="1">OFFSET(PTRA!AN$213,$E100,0)</f>
        <v>207.94004526176084</v>
      </c>
      <c r="AK100" s="24">
        <f ca="1">OFFSET(PTRA!AO$213,$E100,0)</f>
        <v>207.94004526176084</v>
      </c>
      <c r="AL100" s="24">
        <f ca="1">OFFSET(PTRA!AP$213,$E100,0)</f>
        <v>207.94004526176084</v>
      </c>
      <c r="AM100" s="24">
        <f ca="1">OFFSET(PTRA!AQ$213,$E100,0)</f>
        <v>0</v>
      </c>
    </row>
    <row r="101" spans="1:39">
      <c r="A101" s="36" t="s">
        <v>183</v>
      </c>
      <c r="B101">
        <v>2.2210937076119999</v>
      </c>
      <c r="E101" s="153">
        <f>MATCH(F101,PTRA!$D$214:$D$221,0)</f>
        <v>3</v>
      </c>
      <c r="F101" s="4" t="str">
        <f t="shared" si="1"/>
        <v>TPPRMOT</v>
      </c>
      <c r="G101" s="24">
        <f ca="1">OFFSET(PTRA!K$213,$E101,0)</f>
        <v>3.0403376504443838</v>
      </c>
      <c r="H101" s="24">
        <f ca="1">OFFSET(PTRA!L$213,$E101,0)</f>
        <v>2.8145352221816093</v>
      </c>
      <c r="I101" s="24">
        <f ca="1">OFFSET(PTRA!M$213,$E101,0)</f>
        <v>2.5887327939188354</v>
      </c>
      <c r="J101" s="24">
        <f ca="1">OFFSET(PTRA!N$213,$E101,0)</f>
        <v>2.6351821727959512</v>
      </c>
      <c r="K101" s="24">
        <f ca="1">OFFSET(PTRA!O$213,$E101,0)</f>
        <v>2.6816315516730675</v>
      </c>
      <c r="L101" s="24">
        <f ca="1">OFFSET(PTRA!P$213,$E101,0)</f>
        <v>2.6736494049015653</v>
      </c>
      <c r="M101" s="24">
        <f ca="1">OFFSET(PTRA!Q$213,$E101,0)</f>
        <v>2.6656672581300631</v>
      </c>
      <c r="N101" s="24">
        <f ca="1">OFFSET(PTRA!R$213,$E101,0)</f>
        <v>2.6576851113585604</v>
      </c>
      <c r="O101" s="234">
        <f ca="1">OFFSET(PTRA!S$213,$E101,0)</f>
        <v>2.7319922964558381</v>
      </c>
      <c r="P101" s="24">
        <f ca="1">OFFSET(PTRA!T$213,$E101,0)</f>
        <v>2.8062994815531157</v>
      </c>
      <c r="Q101" s="24">
        <f ca="1">OFFSET(PTRA!U$213,$E101,0)</f>
        <v>2.8806066666503933</v>
      </c>
      <c r="R101" s="24">
        <f ca="1">OFFSET(PTRA!V$213,$E101,0)</f>
        <v>2.954913851747671</v>
      </c>
      <c r="S101" s="24">
        <f ca="1">OFFSET(PTRA!W$213,$E101,0)</f>
        <v>3.0292210368449486</v>
      </c>
      <c r="T101" s="234">
        <f ca="1">OFFSET(PTRA!X$213,$E101,0)</f>
        <v>3.1035282219422262</v>
      </c>
      <c r="U101" s="24">
        <f ca="1">OFFSET(PTRA!Y$213,$E101,0)</f>
        <v>3.1778354070395038</v>
      </c>
      <c r="V101" s="24">
        <f ca="1">OFFSET(PTRA!Z$213,$E101,0)</f>
        <v>3.2521425921367815</v>
      </c>
      <c r="W101" s="24">
        <f ca="1">OFFSET(PTRA!AA$213,$E101,0)</f>
        <v>3.3264497772340591</v>
      </c>
      <c r="X101" s="24">
        <f ca="1">OFFSET(PTRA!AB$213,$E101,0)</f>
        <v>3.4007569623313376</v>
      </c>
      <c r="Y101" s="246">
        <f ca="1">OFFSET(PTRA!AC$213,$E101,0)</f>
        <v>3.5149724129415341</v>
      </c>
      <c r="Z101" s="24">
        <f ca="1">OFFSET(PTRA!AD$213,$E101,0)</f>
        <v>3.6291878635517305</v>
      </c>
      <c r="AA101" s="24">
        <f ca="1">OFFSET(PTRA!AE$213,$E101,0)</f>
        <v>3.743403314161927</v>
      </c>
      <c r="AB101" s="24">
        <f ca="1">OFFSET(PTRA!AF$213,$E101,0)</f>
        <v>3.8576187647721234</v>
      </c>
      <c r="AC101" s="24">
        <f ca="1">OFFSET(PTRA!AG$213,$E101,0)</f>
        <v>3.9718342153823198</v>
      </c>
      <c r="AD101" s="24">
        <f ca="1">OFFSET(PTRA!AH$213,$E101,0)</f>
        <v>4.0860496659925163</v>
      </c>
      <c r="AE101" s="24">
        <f ca="1">OFFSET(PTRA!AI$213,$E101,0)</f>
        <v>4.2002651166027132</v>
      </c>
      <c r="AF101" s="24">
        <f ca="1">OFFSET(PTRA!AJ$213,$E101,0)</f>
        <v>4.3144805672129092</v>
      </c>
      <c r="AG101" s="24">
        <f ca="1">OFFSET(PTRA!AK$213,$E101,0)</f>
        <v>4.4286960178231052</v>
      </c>
      <c r="AH101" s="24">
        <f ca="1">OFFSET(PTRA!AL$213,$E101,0)</f>
        <v>4.5429114684333021</v>
      </c>
      <c r="AI101" s="24">
        <f ca="1">OFFSET(PTRA!AM$213,$E101,0)</f>
        <v>5.2403378247069003</v>
      </c>
      <c r="AJ101" s="24">
        <f ca="1">OFFSET(PTRA!AN$213,$E101,0)</f>
        <v>5.9377641809804977</v>
      </c>
      <c r="AK101" s="24">
        <f ca="1">OFFSET(PTRA!AO$213,$E101,0)</f>
        <v>5.9377641809804977</v>
      </c>
      <c r="AL101" s="24">
        <f ca="1">OFFSET(PTRA!AP$213,$E101,0)</f>
        <v>5.9377641809804977</v>
      </c>
      <c r="AM101" s="24">
        <f ca="1">OFFSET(PTRA!AQ$213,$E101,0)</f>
        <v>0</v>
      </c>
    </row>
    <row r="102" spans="1:39">
      <c r="A102" s="36" t="s">
        <v>127</v>
      </c>
      <c r="B102">
        <v>9.7306216335790001</v>
      </c>
      <c r="E102" s="153">
        <f>MATCH(F102,PTRA!$D$214:$D$221,0)</f>
        <v>2</v>
      </c>
      <c r="F102" s="4" t="str">
        <f t="shared" si="1"/>
        <v>TPPRSUV</v>
      </c>
      <c r="G102" s="24">
        <f ca="1">OFFSET(PTRA!K$213,$E102,0)</f>
        <v>9.822026778313802</v>
      </c>
      <c r="H102" s="24">
        <f ca="1">OFFSET(PTRA!L$213,$E102,0)</f>
        <v>10.062691129614308</v>
      </c>
      <c r="I102" s="24">
        <f ca="1">OFFSET(PTRA!M$213,$E102,0)</f>
        <v>10.303355480914815</v>
      </c>
      <c r="J102" s="24">
        <f ca="1">OFFSET(PTRA!N$213,$E102,0)</f>
        <v>10.48822757878558</v>
      </c>
      <c r="K102" s="24">
        <f ca="1">OFFSET(PTRA!O$213,$E102,0)</f>
        <v>10.673099676656344</v>
      </c>
      <c r="L102" s="24">
        <f ca="1">OFFSET(PTRA!P$213,$E102,0)</f>
        <v>10.64133011902536</v>
      </c>
      <c r="M102" s="24">
        <f ca="1">OFFSET(PTRA!Q$213,$E102,0)</f>
        <v>10.609560561394376</v>
      </c>
      <c r="N102" s="24">
        <f ca="1">OFFSET(PTRA!R$213,$E102,0)</f>
        <v>10.577791003763391</v>
      </c>
      <c r="O102" s="234">
        <f ca="1">OFFSET(PTRA!S$213,$E102,0)</f>
        <v>10.873539311445775</v>
      </c>
      <c r="P102" s="24">
        <f ca="1">OFFSET(PTRA!T$213,$E102,0)</f>
        <v>11.169287619128159</v>
      </c>
      <c r="Q102" s="24">
        <f ca="1">OFFSET(PTRA!U$213,$E102,0)</f>
        <v>11.465035926810543</v>
      </c>
      <c r="R102" s="24">
        <f ca="1">OFFSET(PTRA!V$213,$E102,0)</f>
        <v>11.760784234492927</v>
      </c>
      <c r="S102" s="24">
        <f ca="1">OFFSET(PTRA!W$213,$E102,0)</f>
        <v>12.056532542175312</v>
      </c>
      <c r="T102" s="234">
        <f ca="1">OFFSET(PTRA!X$213,$E102,0)</f>
        <v>12.352280849857696</v>
      </c>
      <c r="U102" s="24">
        <f ca="1">OFFSET(PTRA!Y$213,$E102,0)</f>
        <v>12.64802915754008</v>
      </c>
      <c r="V102" s="24">
        <f ca="1">OFFSET(PTRA!Z$213,$E102,0)</f>
        <v>12.943777465222464</v>
      </c>
      <c r="W102" s="24">
        <f ca="1">OFFSET(PTRA!AA$213,$E102,0)</f>
        <v>13.239525772904848</v>
      </c>
      <c r="X102" s="24">
        <f ca="1">OFFSET(PTRA!AB$213,$E102,0)</f>
        <v>13.535274080587239</v>
      </c>
      <c r="Y102" s="246">
        <f ca="1">OFFSET(PTRA!AC$213,$E102,0)</f>
        <v>13.989860352223362</v>
      </c>
      <c r="Z102" s="24">
        <f ca="1">OFFSET(PTRA!AD$213,$E102,0)</f>
        <v>14.444446623859484</v>
      </c>
      <c r="AA102" s="24">
        <f ca="1">OFFSET(PTRA!AE$213,$E102,0)</f>
        <v>14.899032895495607</v>
      </c>
      <c r="AB102" s="24">
        <f ca="1">OFFSET(PTRA!AF$213,$E102,0)</f>
        <v>15.353619167131729</v>
      </c>
      <c r="AC102" s="24">
        <f ca="1">OFFSET(PTRA!AG$213,$E102,0)</f>
        <v>15.808205438767851</v>
      </c>
      <c r="AD102" s="24">
        <f ca="1">OFFSET(PTRA!AH$213,$E102,0)</f>
        <v>16.262791710403974</v>
      </c>
      <c r="AE102" s="24">
        <f ca="1">OFFSET(PTRA!AI$213,$E102,0)</f>
        <v>16.717377982040095</v>
      </c>
      <c r="AF102" s="24">
        <f ca="1">OFFSET(PTRA!AJ$213,$E102,0)</f>
        <v>17.171964253676215</v>
      </c>
      <c r="AG102" s="24">
        <f ca="1">OFFSET(PTRA!AK$213,$E102,0)</f>
        <v>17.626550525312336</v>
      </c>
      <c r="AH102" s="24">
        <f ca="1">OFFSET(PTRA!AL$213,$E102,0)</f>
        <v>18.081136796948456</v>
      </c>
      <c r="AI102" s="24">
        <f ca="1">OFFSET(PTRA!AM$213,$E102,0)</f>
        <v>20.856947296713507</v>
      </c>
      <c r="AJ102" s="24">
        <f ca="1">OFFSET(PTRA!AN$213,$E102,0)</f>
        <v>23.632757796478558</v>
      </c>
      <c r="AK102" s="24">
        <f ca="1">OFFSET(PTRA!AO$213,$E102,0)</f>
        <v>23.632757796478558</v>
      </c>
      <c r="AL102" s="24">
        <f ca="1">OFFSET(PTRA!AP$213,$E102,0)</f>
        <v>23.632757796478558</v>
      </c>
      <c r="AM102" s="24">
        <f ca="1">OFFSET(PTRA!AQ$213,$E102,0)</f>
        <v>0</v>
      </c>
    </row>
    <row r="103" spans="1:39">
      <c r="A103" s="36" t="s">
        <v>131</v>
      </c>
      <c r="B103" t="s">
        <v>387</v>
      </c>
      <c r="E103" s="153">
        <f>MATCH(F103,PTRA!$D$214:$D$221,0)</f>
        <v>6</v>
      </c>
      <c r="F103" s="4" t="str">
        <f t="shared" si="1"/>
        <v>TPPUBRT</v>
      </c>
      <c r="G103" s="24">
        <f ca="1">OFFSET(PTRA!K$213,$E103,0)</f>
        <v>2.1414716495416288E-2</v>
      </c>
      <c r="H103" s="24">
        <f ca="1">OFFSET(PTRA!L$213,$E103,0)</f>
        <v>2.17754946495833E-2</v>
      </c>
      <c r="I103" s="24">
        <f ca="1">OFFSET(PTRA!M$213,$E103,0)</f>
        <v>2.2136272803750311E-2</v>
      </c>
      <c r="J103" s="24">
        <f ca="1">OFFSET(PTRA!N$213,$E103,0)</f>
        <v>2.2524463787851348E-2</v>
      </c>
      <c r="K103" s="24">
        <f ca="1">OFFSET(PTRA!O$213,$E103,0)</f>
        <v>2.2912654771952382E-2</v>
      </c>
      <c r="L103" s="24">
        <f ca="1">OFFSET(PTRA!P$213,$E103,0)</f>
        <v>8.8277970481301565E-2</v>
      </c>
      <c r="M103" s="24">
        <f ca="1">OFFSET(PTRA!Q$213,$E103,0)</f>
        <v>0.15364328619065076</v>
      </c>
      <c r="N103" s="24">
        <f ca="1">OFFSET(PTRA!R$213,$E103,0)</f>
        <v>0.21900860189999996</v>
      </c>
      <c r="O103" s="234">
        <f ca="1">OFFSET(PTRA!S$213,$E103,0)</f>
        <v>0.25117432108735877</v>
      </c>
      <c r="P103" s="24">
        <f ca="1">OFFSET(PTRA!T$213,$E103,0)</f>
        <v>0.28334004027471754</v>
      </c>
      <c r="Q103" s="24">
        <f ca="1">OFFSET(PTRA!U$213,$E103,0)</f>
        <v>0.31550575946207632</v>
      </c>
      <c r="R103" s="24">
        <f ca="1">OFFSET(PTRA!V$213,$E103,0)</f>
        <v>0.3476714786494351</v>
      </c>
      <c r="S103" s="24">
        <f ca="1">OFFSET(PTRA!W$213,$E103,0)</f>
        <v>0.37983719783679387</v>
      </c>
      <c r="T103" s="234">
        <f ca="1">OFFSET(PTRA!X$213,$E103,0)</f>
        <v>0.41200291702415265</v>
      </c>
      <c r="U103" s="24">
        <f ca="1">OFFSET(PTRA!Y$213,$E103,0)</f>
        <v>0.44416863621151143</v>
      </c>
      <c r="V103" s="24">
        <f ca="1">OFFSET(PTRA!Z$213,$E103,0)</f>
        <v>0.4763343553988702</v>
      </c>
      <c r="W103" s="24">
        <f ca="1">OFFSET(PTRA!AA$213,$E103,0)</f>
        <v>0.50850007458622903</v>
      </c>
      <c r="X103" s="24">
        <f ca="1">OFFSET(PTRA!AB$213,$E103,0)</f>
        <v>0.54066579377358781</v>
      </c>
      <c r="Y103" s="246">
        <f ca="1">OFFSET(PTRA!AC$213,$E103,0)</f>
        <v>0.59035823829222334</v>
      </c>
      <c r="Z103" s="24">
        <f ca="1">OFFSET(PTRA!AD$213,$E103,0)</f>
        <v>0.64005068281085886</v>
      </c>
      <c r="AA103" s="24">
        <f ca="1">OFFSET(PTRA!AE$213,$E103,0)</f>
        <v>0.68974312732949439</v>
      </c>
      <c r="AB103" s="24">
        <f ca="1">OFFSET(PTRA!AF$213,$E103,0)</f>
        <v>0.73943557184812991</v>
      </c>
      <c r="AC103" s="24">
        <f ca="1">OFFSET(PTRA!AG$213,$E103,0)</f>
        <v>0.78912801636676544</v>
      </c>
      <c r="AD103" s="24">
        <f ca="1">OFFSET(PTRA!AH$213,$E103,0)</f>
        <v>0.83882046088540096</v>
      </c>
      <c r="AE103" s="24">
        <f ca="1">OFFSET(PTRA!AI$213,$E103,0)</f>
        <v>0.88851290540403649</v>
      </c>
      <c r="AF103" s="24">
        <f ca="1">OFFSET(PTRA!AJ$213,$E103,0)</f>
        <v>0.93820534992267202</v>
      </c>
      <c r="AG103" s="24">
        <f ca="1">OFFSET(PTRA!AK$213,$E103,0)</f>
        <v>0.98789779444130754</v>
      </c>
      <c r="AH103" s="24">
        <f ca="1">OFFSET(PTRA!AL$213,$E103,0)</f>
        <v>1.0375902389599432</v>
      </c>
      <c r="AI103" s="24">
        <f ca="1">OFFSET(PTRA!AM$213,$E103,0)</f>
        <v>1.2931966660564604</v>
      </c>
      <c r="AJ103" s="24">
        <f ca="1">OFFSET(PTRA!AN$213,$E103,0)</f>
        <v>1.5488030931529777</v>
      </c>
      <c r="AK103" s="24">
        <f ca="1">OFFSET(PTRA!AO$213,$E103,0)</f>
        <v>1.5488030931529777</v>
      </c>
      <c r="AL103" s="24">
        <f ca="1">OFFSET(PTRA!AP$213,$E103,0)</f>
        <v>1.5488030931529777</v>
      </c>
      <c r="AM103" s="24">
        <f ca="1">OFFSET(PTRA!AQ$213,$E103,0)</f>
        <v>0</v>
      </c>
    </row>
    <row r="104" spans="1:39">
      <c r="A104" s="36" t="s">
        <v>129</v>
      </c>
      <c r="B104">
        <v>0.62801975359410001</v>
      </c>
      <c r="E104" s="153">
        <f>MATCH(F104,PTRA!$D$214:$D$221,0)</f>
        <v>4</v>
      </c>
      <c r="F104" s="4" t="str">
        <f t="shared" si="1"/>
        <v>TPPUBUS</v>
      </c>
      <c r="G104" s="24">
        <f ca="1">OFFSET(PTRA!K$213,$E104,0)</f>
        <v>0.6286609931450593</v>
      </c>
      <c r="H104" s="24">
        <f ca="1">OFFSET(PTRA!L$213,$E104,0)</f>
        <v>0.63933049657252961</v>
      </c>
      <c r="I104" s="24">
        <f ca="1">OFFSET(PTRA!M$213,$E104,0)</f>
        <v>0.65</v>
      </c>
      <c r="J104" s="24">
        <f ca="1">OFFSET(PTRA!N$213,$E104,0)</f>
        <v>0.66077214814486951</v>
      </c>
      <c r="K104" s="24">
        <f ca="1">OFFSET(PTRA!O$213,$E104,0)</f>
        <v>0.671544296289739</v>
      </c>
      <c r="L104" s="24">
        <f ca="1">OFFSET(PTRA!P$213,$E104,0)</f>
        <v>0.68036025459511962</v>
      </c>
      <c r="M104" s="24">
        <f ca="1">OFFSET(PTRA!Q$213,$E104,0)</f>
        <v>0.68917621290050024</v>
      </c>
      <c r="N104" s="24">
        <f ca="1">OFFSET(PTRA!R$213,$E104,0)</f>
        <v>0.69799217120588097</v>
      </c>
      <c r="O104" s="234">
        <f ca="1">OFFSET(PTRA!S$213,$E104,0)</f>
        <v>0.71745599491401779</v>
      </c>
      <c r="P104" s="24">
        <f ca="1">OFFSET(PTRA!T$213,$E104,0)</f>
        <v>0.73691981862215461</v>
      </c>
      <c r="Q104" s="24">
        <f ca="1">OFFSET(PTRA!U$213,$E104,0)</f>
        <v>0.75638364233029143</v>
      </c>
      <c r="R104" s="24">
        <f ca="1">OFFSET(PTRA!V$213,$E104,0)</f>
        <v>0.77584746603842825</v>
      </c>
      <c r="S104" s="24">
        <f ca="1">OFFSET(PTRA!W$213,$E104,0)</f>
        <v>0.79531128974656506</v>
      </c>
      <c r="T104" s="234">
        <f ca="1">OFFSET(PTRA!X$213,$E104,0)</f>
        <v>0.81477511345470188</v>
      </c>
      <c r="U104" s="24">
        <f ca="1">OFFSET(PTRA!Y$213,$E104,0)</f>
        <v>0.8342389371628387</v>
      </c>
      <c r="V104" s="24">
        <f ca="1">OFFSET(PTRA!Z$213,$E104,0)</f>
        <v>0.85370276087097552</v>
      </c>
      <c r="W104" s="24">
        <f ca="1">OFFSET(PTRA!AA$213,$E104,0)</f>
        <v>0.87316658457911234</v>
      </c>
      <c r="X104" s="24">
        <f ca="1">OFFSET(PTRA!AB$213,$E104,0)</f>
        <v>0.89263040828724971</v>
      </c>
      <c r="Y104" s="246">
        <f ca="1">OFFSET(PTRA!AC$213,$E104,0)</f>
        <v>0.87698743620148201</v>
      </c>
      <c r="Z104" s="24">
        <f ca="1">OFFSET(PTRA!AD$213,$E104,0)</f>
        <v>0.8613444641157143</v>
      </c>
      <c r="AA104" s="24">
        <f ca="1">OFFSET(PTRA!AE$213,$E104,0)</f>
        <v>0.8457014920299466</v>
      </c>
      <c r="AB104" s="24">
        <f ca="1">OFFSET(PTRA!AF$213,$E104,0)</f>
        <v>0.8300585199441789</v>
      </c>
      <c r="AC104" s="24">
        <f ca="1">OFFSET(PTRA!AG$213,$E104,0)</f>
        <v>0.81441554785841119</v>
      </c>
      <c r="AD104" s="24">
        <f ca="1">OFFSET(PTRA!AH$213,$E104,0)</f>
        <v>0.79877257577264349</v>
      </c>
      <c r="AE104" s="24">
        <f ca="1">OFFSET(PTRA!AI$213,$E104,0)</f>
        <v>0.78312960368687579</v>
      </c>
      <c r="AF104" s="24">
        <f ca="1">OFFSET(PTRA!AJ$213,$E104,0)</f>
        <v>0.76748663160110808</v>
      </c>
      <c r="AG104" s="24">
        <f ca="1">OFFSET(PTRA!AK$213,$E104,0)</f>
        <v>0.75184365951534038</v>
      </c>
      <c r="AH104" s="24">
        <f ca="1">OFFSET(PTRA!AL$213,$E104,0)</f>
        <v>0.73620068742957312</v>
      </c>
      <c r="AI104" s="24">
        <f ca="1">OFFSET(PTRA!AM$213,$E104,0)</f>
        <v>0.62399735286919245</v>
      </c>
      <c r="AJ104" s="24">
        <f ca="1">OFFSET(PTRA!AN$213,$E104,0)</f>
        <v>0.51179401830881177</v>
      </c>
      <c r="AK104" s="24">
        <f ca="1">OFFSET(PTRA!AO$213,$E104,0)</f>
        <v>0.51179401830881177</v>
      </c>
      <c r="AL104" s="24">
        <f ca="1">OFFSET(PTRA!AP$213,$E104,0)</f>
        <v>0.51179401830881177</v>
      </c>
      <c r="AM104" s="24">
        <f ca="1">OFFSET(PTRA!AQ$213,$E104,0)</f>
        <v>0</v>
      </c>
    </row>
    <row r="105" spans="1:39">
      <c r="A105" s="36" t="s">
        <v>133</v>
      </c>
      <c r="B105" t="s">
        <v>387</v>
      </c>
      <c r="E105" s="153">
        <f>MATCH(F105,PTRA!$D$214:$D$221,0)</f>
        <v>8</v>
      </c>
      <c r="F105" s="4" t="str">
        <f t="shared" si="1"/>
        <v>TPPUGAT</v>
      </c>
      <c r="G105" s="24">
        <f ca="1">OFFSET(PTRA!K$213,$E105,0)</f>
        <v>0.55636438726329929</v>
      </c>
      <c r="H105" s="24">
        <f ca="1">OFFSET(PTRA!L$213,$E105,0)</f>
        <v>0.57098512094066101</v>
      </c>
      <c r="I105" s="24">
        <f ca="1">OFFSET(PTRA!M$213,$E105,0)</f>
        <v>0.58560585461802261</v>
      </c>
      <c r="J105" s="24">
        <f ca="1">OFFSET(PTRA!N$213,$E105,0)</f>
        <v>0.59979525964270741</v>
      </c>
      <c r="K105" s="24">
        <f ca="1">OFFSET(PTRA!O$213,$E105,0)</f>
        <v>0.6139846646673921</v>
      </c>
      <c r="L105" s="24">
        <f ca="1">OFFSET(PTRA!P$213,$E105,0)</f>
        <v>0.61115250823634748</v>
      </c>
      <c r="M105" s="24">
        <f ca="1">OFFSET(PTRA!Q$213,$E105,0)</f>
        <v>0.60832035180530286</v>
      </c>
      <c r="N105" s="24">
        <f ca="1">OFFSET(PTRA!R$213,$E105,0)</f>
        <v>0.60548819537425813</v>
      </c>
      <c r="O105" s="234">
        <f ca="1">OFFSET(PTRA!S$213,$E105,0)</f>
        <v>0.62173986975447038</v>
      </c>
      <c r="P105" s="24">
        <f ca="1">OFFSET(PTRA!T$213,$E105,0)</f>
        <v>0.63799154413468262</v>
      </c>
      <c r="Q105" s="24">
        <f ca="1">OFFSET(PTRA!U$213,$E105,0)</f>
        <v>0.65424321851489486</v>
      </c>
      <c r="R105" s="24">
        <f ca="1">OFFSET(PTRA!V$213,$E105,0)</f>
        <v>0.67049489289510711</v>
      </c>
      <c r="S105" s="24">
        <f ca="1">OFFSET(PTRA!W$213,$E105,0)</f>
        <v>0.68674656727531935</v>
      </c>
      <c r="T105" s="234">
        <f ca="1">OFFSET(PTRA!X$213,$E105,0)</f>
        <v>0.7029982416555316</v>
      </c>
      <c r="U105" s="24">
        <f ca="1">OFFSET(PTRA!Y$213,$E105,0)</f>
        <v>0.71924991603574384</v>
      </c>
      <c r="V105" s="24">
        <f ca="1">OFFSET(PTRA!Z$213,$E105,0)</f>
        <v>0.73550159041595609</v>
      </c>
      <c r="W105" s="24">
        <f ca="1">OFFSET(PTRA!AA$213,$E105,0)</f>
        <v>0.75175326479616833</v>
      </c>
      <c r="X105" s="24">
        <f ca="1">OFFSET(PTRA!AB$213,$E105,0)</f>
        <v>0.76800493917638013</v>
      </c>
      <c r="Y105" s="246">
        <f ca="1">OFFSET(PTRA!AC$213,$E105,0)</f>
        <v>0.79117632042838004</v>
      </c>
      <c r="Z105" s="24">
        <f ca="1">OFFSET(PTRA!AD$213,$E105,0)</f>
        <v>0.81434770168037995</v>
      </c>
      <c r="AA105" s="24">
        <f ca="1">OFFSET(PTRA!AE$213,$E105,0)</f>
        <v>0.83751908293237987</v>
      </c>
      <c r="AB105" s="24">
        <f ca="1">OFFSET(PTRA!AF$213,$E105,0)</f>
        <v>0.86069046418437978</v>
      </c>
      <c r="AC105" s="24">
        <f ca="1">OFFSET(PTRA!AG$213,$E105,0)</f>
        <v>0.88386184543637969</v>
      </c>
      <c r="AD105" s="24">
        <f ca="1">OFFSET(PTRA!AH$213,$E105,0)</f>
        <v>0.9070332266883796</v>
      </c>
      <c r="AE105" s="24">
        <f ca="1">OFFSET(PTRA!AI$213,$E105,0)</f>
        <v>0.93020460794037951</v>
      </c>
      <c r="AF105" s="24">
        <f ca="1">OFFSET(PTRA!AJ$213,$E105,0)</f>
        <v>0.95337598919237942</v>
      </c>
      <c r="AG105" s="24">
        <f ca="1">OFFSET(PTRA!AK$213,$E105,0)</f>
        <v>0.97654737044437934</v>
      </c>
      <c r="AH105" s="24">
        <f ca="1">OFFSET(PTRA!AL$213,$E105,0)</f>
        <v>0.99971875169637903</v>
      </c>
      <c r="AI105" s="24">
        <f ca="1">OFFSET(PTRA!AM$213,$E105,0)</f>
        <v>1.1282340078850792</v>
      </c>
      <c r="AJ105" s="24">
        <f ca="1">OFFSET(PTRA!AN$213,$E105,0)</f>
        <v>1.2567492640737796</v>
      </c>
      <c r="AK105" s="24">
        <f ca="1">OFFSET(PTRA!AO$213,$E105,0)</f>
        <v>1.2567492640737796</v>
      </c>
      <c r="AL105" s="24">
        <f ca="1">OFFSET(PTRA!AP$213,$E105,0)</f>
        <v>1.2567492640737796</v>
      </c>
      <c r="AM105" s="24">
        <f ca="1">OFFSET(PTRA!AQ$213,$E105,0)</f>
        <v>0</v>
      </c>
    </row>
    <row r="106" spans="1:39">
      <c r="A106" s="36" t="s">
        <v>130</v>
      </c>
      <c r="B106">
        <v>8.3842691666009994</v>
      </c>
      <c r="E106" s="153">
        <f>MATCH(F106,PTRA!$D$214:$D$221,0)</f>
        <v>5</v>
      </c>
      <c r="F106" s="4" t="str">
        <f t="shared" si="1"/>
        <v>TPPUMBT</v>
      </c>
      <c r="G106" s="24">
        <f ca="1">OFFSET(PTRA!K$213,$E106,0)</f>
        <v>7.0000470045650571</v>
      </c>
      <c r="H106" s="24">
        <f ca="1">OFFSET(PTRA!L$213,$E106,0)</f>
        <v>6.9500235022825292</v>
      </c>
      <c r="I106" s="24">
        <f ca="1">OFFSET(PTRA!M$213,$E106,0)</f>
        <v>6.9</v>
      </c>
      <c r="J106" s="24">
        <f ca="1">OFFSET(PTRA!N$213,$E106,0)</f>
        <v>7.0212765000000008</v>
      </c>
      <c r="K106" s="24">
        <f ca="1">OFFSET(PTRA!O$213,$E106,0)</f>
        <v>7.1425530000000004</v>
      </c>
      <c r="L106" s="24">
        <f ca="1">OFFSET(PTRA!P$213,$E106,0)</f>
        <v>7.2080453454864593</v>
      </c>
      <c r="M106" s="24">
        <f ca="1">OFFSET(PTRA!Q$213,$E106,0)</f>
        <v>7.2735376909729181</v>
      </c>
      <c r="N106" s="24">
        <f ca="1">OFFSET(PTRA!R$213,$E106,0)</f>
        <v>7.339030036459377</v>
      </c>
      <c r="O106" s="234">
        <f ca="1">OFFSET(PTRA!S$213,$E106,0)</f>
        <v>7.3434819444748127</v>
      </c>
      <c r="P106" s="24">
        <f ca="1">OFFSET(PTRA!T$213,$E106,0)</f>
        <v>7.3479338524902484</v>
      </c>
      <c r="Q106" s="24">
        <f ca="1">OFFSET(PTRA!U$213,$E106,0)</f>
        <v>7.3523857605056842</v>
      </c>
      <c r="R106" s="24">
        <f ca="1">OFFSET(PTRA!V$213,$E106,0)</f>
        <v>7.3568376685211199</v>
      </c>
      <c r="S106" s="24">
        <f ca="1">OFFSET(PTRA!W$213,$E106,0)</f>
        <v>7.3612895765365556</v>
      </c>
      <c r="T106" s="234">
        <f ca="1">OFFSET(PTRA!X$213,$E106,0)</f>
        <v>7.3657414845519913</v>
      </c>
      <c r="U106" s="24">
        <f ca="1">OFFSET(PTRA!Y$213,$E106,0)</f>
        <v>7.370193392567427</v>
      </c>
      <c r="V106" s="24">
        <f ca="1">OFFSET(PTRA!Z$213,$E106,0)</f>
        <v>7.3746453005828627</v>
      </c>
      <c r="W106" s="24">
        <f ca="1">OFFSET(PTRA!AA$213,$E106,0)</f>
        <v>7.3790972085982984</v>
      </c>
      <c r="X106" s="24">
        <f ca="1">OFFSET(PTRA!AB$213,$E106,0)</f>
        <v>7.3835491166137359</v>
      </c>
      <c r="Y106" s="246">
        <f ca="1">OFFSET(PTRA!AC$213,$E106,0)</f>
        <v>7.3407264382160182</v>
      </c>
      <c r="Z106" s="24">
        <f ca="1">OFFSET(PTRA!AD$213,$E106,0)</f>
        <v>7.2979037598183005</v>
      </c>
      <c r="AA106" s="24">
        <f ca="1">OFFSET(PTRA!AE$213,$E106,0)</f>
        <v>7.2550810814205828</v>
      </c>
      <c r="AB106" s="24">
        <f ca="1">OFFSET(PTRA!AF$213,$E106,0)</f>
        <v>7.2122584030228651</v>
      </c>
      <c r="AC106" s="24">
        <f ca="1">OFFSET(PTRA!AG$213,$E106,0)</f>
        <v>7.1694357246251474</v>
      </c>
      <c r="AD106" s="24">
        <f ca="1">OFFSET(PTRA!AH$213,$E106,0)</f>
        <v>7.1266130462274297</v>
      </c>
      <c r="AE106" s="24">
        <f ca="1">OFFSET(PTRA!AI$213,$E106,0)</f>
        <v>7.0837903678297121</v>
      </c>
      <c r="AF106" s="24">
        <f ca="1">OFFSET(PTRA!AJ$213,$E106,0)</f>
        <v>7.0409676894319944</v>
      </c>
      <c r="AG106" s="24">
        <f ca="1">OFFSET(PTRA!AK$213,$E106,0)</f>
        <v>6.9981450110342767</v>
      </c>
      <c r="AH106" s="24">
        <f ca="1">OFFSET(PTRA!AL$213,$E106,0)</f>
        <v>6.9553223326365616</v>
      </c>
      <c r="AI106" s="24">
        <f ca="1">OFFSET(PTRA!AM$213,$E106,0)</f>
        <v>6.6959181622928794</v>
      </c>
      <c r="AJ106" s="24">
        <f ca="1">OFFSET(PTRA!AN$213,$E106,0)</f>
        <v>6.4365139919491972</v>
      </c>
      <c r="AK106" s="24">
        <f ca="1">OFFSET(PTRA!AO$213,$E106,0)</f>
        <v>6.4365139919491972</v>
      </c>
      <c r="AL106" s="24">
        <f ca="1">OFFSET(PTRA!AP$213,$E106,0)</f>
        <v>6.4365139919491972</v>
      </c>
      <c r="AM106" s="24">
        <f ca="1">OFFSET(PTRA!AQ$213,$E106,0)</f>
        <v>0</v>
      </c>
    </row>
    <row r="107" spans="1:39">
      <c r="A107" s="36" t="s">
        <v>132</v>
      </c>
      <c r="B107">
        <v>13.9</v>
      </c>
      <c r="E107" s="154">
        <f>MATCH(F107,PTRA!$D$214:$D$221,0)</f>
        <v>7</v>
      </c>
      <c r="F107" s="4" t="str">
        <f t="shared" si="1"/>
        <v>TPPUMER</v>
      </c>
      <c r="G107" s="24">
        <f ca="1">OFFSET(PTRA!K$213,$E107,0)</f>
        <v>17.201297447162645</v>
      </c>
      <c r="H107" s="24">
        <f ca="1">OFFSET(PTRA!L$213,$E107,0)</f>
        <v>17.259866703642921</v>
      </c>
      <c r="I107" s="24">
        <f ca="1">OFFSET(PTRA!M$213,$E107,0)</f>
        <v>17.318435960123196</v>
      </c>
      <c r="J107" s="24">
        <f ca="1">OFFSET(PTRA!N$213,$E107,0)</f>
        <v>17.43681911962635</v>
      </c>
      <c r="K107" s="24">
        <f ca="1">OFFSET(PTRA!O$213,$E107,0)</f>
        <v>17.555202279129503</v>
      </c>
      <c r="L107" s="24">
        <f ca="1">OFFSET(PTRA!P$213,$E107,0)</f>
        <v>17.651919196899122</v>
      </c>
      <c r="M107" s="24">
        <f ca="1">OFFSET(PTRA!Q$213,$E107,0)</f>
        <v>17.748636114668741</v>
      </c>
      <c r="N107" s="24">
        <f ca="1">OFFSET(PTRA!R$213,$E107,0)</f>
        <v>17.845353032438364</v>
      </c>
      <c r="O107" s="234">
        <f ca="1">OFFSET(PTRA!S$213,$E107,0)</f>
        <v>17.380167734142425</v>
      </c>
      <c r="P107" s="24">
        <f ca="1">OFFSET(PTRA!T$213,$E107,0)</f>
        <v>16.91498243584649</v>
      </c>
      <c r="Q107" s="24">
        <f ca="1">OFFSET(PTRA!U$213,$E107,0)</f>
        <v>16.449797137550554</v>
      </c>
      <c r="R107" s="24">
        <f ca="1">OFFSET(PTRA!V$213,$E107,0)</f>
        <v>15.984611839254617</v>
      </c>
      <c r="S107" s="24">
        <f ca="1">OFFSET(PTRA!W$213,$E107,0)</f>
        <v>15.51942654095868</v>
      </c>
      <c r="T107" s="234">
        <f ca="1">OFFSET(PTRA!X$213,$E107,0)</f>
        <v>15.054241242662743</v>
      </c>
      <c r="U107" s="24">
        <f ca="1">OFFSET(PTRA!Y$213,$E107,0)</f>
        <v>14.589055944366805</v>
      </c>
      <c r="V107" s="24">
        <f ca="1">OFFSET(PTRA!Z$213,$E107,0)</f>
        <v>14.123870646070868</v>
      </c>
      <c r="W107" s="24">
        <f ca="1">OFFSET(PTRA!AA$213,$E107,0)</f>
        <v>13.658685347774931</v>
      </c>
      <c r="X107" s="24">
        <f ca="1">OFFSET(PTRA!AB$213,$E107,0)</f>
        <v>13.193500049478992</v>
      </c>
      <c r="Y107" s="246">
        <f ca="1">OFFSET(PTRA!AC$213,$E107,0)</f>
        <v>13.378629810848029</v>
      </c>
      <c r="Z107" s="24">
        <f ca="1">OFFSET(PTRA!AD$213,$E107,0)</f>
        <v>13.563759572217066</v>
      </c>
      <c r="AA107" s="24">
        <f ca="1">OFFSET(PTRA!AE$213,$E107,0)</f>
        <v>13.748889333586103</v>
      </c>
      <c r="AB107" s="24">
        <f ca="1">OFFSET(PTRA!AF$213,$E107,0)</f>
        <v>13.93401909495514</v>
      </c>
      <c r="AC107" s="24">
        <f ca="1">OFFSET(PTRA!AG$213,$E107,0)</f>
        <v>14.119148856324177</v>
      </c>
      <c r="AD107" s="24">
        <f ca="1">OFFSET(PTRA!AH$213,$E107,0)</f>
        <v>14.304278617693214</v>
      </c>
      <c r="AE107" s="24">
        <f ca="1">OFFSET(PTRA!AI$213,$E107,0)</f>
        <v>14.489408379062251</v>
      </c>
      <c r="AF107" s="24">
        <f ca="1">OFFSET(PTRA!AJ$213,$E107,0)</f>
        <v>14.674538140431288</v>
      </c>
      <c r="AG107" s="24">
        <f ca="1">OFFSET(PTRA!AK$213,$E107,0)</f>
        <v>14.859667901800325</v>
      </c>
      <c r="AH107" s="24">
        <f ca="1">OFFSET(PTRA!AL$213,$E107,0)</f>
        <v>15.044797663169364</v>
      </c>
      <c r="AI107" s="24">
        <f ca="1">OFFSET(PTRA!AM$213,$E107,0)</f>
        <v>16.602344097320774</v>
      </c>
      <c r="AJ107" s="24">
        <f ca="1">OFFSET(PTRA!AN$213,$E107,0)</f>
        <v>18.159890531472183</v>
      </c>
      <c r="AK107" s="24">
        <f ca="1">OFFSET(PTRA!AO$213,$E107,0)</f>
        <v>18.159890531472183</v>
      </c>
      <c r="AL107" s="24">
        <f ca="1">OFFSET(PTRA!AP$213,$E107,0)</f>
        <v>18.159890531472183</v>
      </c>
      <c r="AM107" s="24">
        <f ca="1">OFFSET(PTRA!AQ$213,$E107,0)</f>
        <v>0</v>
      </c>
    </row>
    <row r="108" spans="1:39">
      <c r="A108" s="36" t="s">
        <v>158</v>
      </c>
      <c r="B108">
        <v>0.1024485696</v>
      </c>
      <c r="E108" s="155">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4.5090000000000003</v>
      </c>
      <c r="L108" s="24">
        <f ca="1">OFFSET(OtherTRA!O$46,$E108,0)</f>
        <v>4.5485526315789473</v>
      </c>
      <c r="M108" s="24">
        <f ca="1">OFFSET(OtherTRA!P$46,$E108,0)</f>
        <v>4.3376052631578945</v>
      </c>
      <c r="N108" s="24">
        <f ca="1">OFFSET(OtherTRA!Q$46,$E108,0)</f>
        <v>4.1266578947368417</v>
      </c>
      <c r="O108" s="24">
        <f ca="1">OFFSET(OtherTRA!R$46,$E108,0)</f>
        <v>3.9157105263157894</v>
      </c>
      <c r="P108" s="24">
        <f ca="1">OFFSET(OtherTRA!S$46,$E108,0)</f>
        <v>3.9829499999999998</v>
      </c>
      <c r="Q108" s="24">
        <f ca="1">OFFSET(OtherTRA!T$46,$E108,0)</f>
        <v>4.0501894736842106</v>
      </c>
      <c r="R108" s="24">
        <f ca="1">OFFSET(OtherTRA!U$46,$E108,0)</f>
        <v>4.1174289473684214</v>
      </c>
      <c r="S108" s="24">
        <f ca="1">OFFSET(OtherTRA!V$46,$E108,0)</f>
        <v>4.1846684210526321</v>
      </c>
      <c r="T108" s="24">
        <f ca="1">OFFSET(OtherTRA!W$46,$E108,0)</f>
        <v>4.2519078947368429</v>
      </c>
      <c r="U108" s="24">
        <f ca="1">OFFSET(OtherTRA!X$46,$E108,0)</f>
        <v>4.3191473684210537</v>
      </c>
      <c r="V108" s="24">
        <f ca="1">OFFSET(OtherTRA!Y$46,$E108,0)</f>
        <v>4.3863868421052645</v>
      </c>
      <c r="W108" s="24">
        <f ca="1">OFFSET(OtherTRA!Z$46,$E108,0)</f>
        <v>4.4536263157894753</v>
      </c>
      <c r="X108" s="24">
        <f ca="1">OFFSET(OtherTRA!AA$46,$E108,0)</f>
        <v>4.5208657894736861</v>
      </c>
      <c r="Y108" s="24">
        <f ca="1">OFFSET(OtherTRA!AB$46,$E108,0)</f>
        <v>4.5881052631578942</v>
      </c>
      <c r="Z108" s="24">
        <f ca="1">OFFSET(OtherTRA!AC$46,$E108,0)</f>
        <v>4.7819131578947367</v>
      </c>
      <c r="AA108" s="24">
        <f ca="1">OFFSET(OtherTRA!AD$46,$E108,0)</f>
        <v>4.9757210526315792</v>
      </c>
      <c r="AB108" s="24">
        <f ca="1">OFFSET(OtherTRA!AE$46,$E108,0)</f>
        <v>5.1695289473684216</v>
      </c>
      <c r="AC108" s="24">
        <f ca="1">OFFSET(OtherTRA!AF$46,$E108,0)</f>
        <v>5.3633368421052641</v>
      </c>
      <c r="AD108" s="24">
        <f ca="1">OFFSET(OtherTRA!AG$46,$E108,0)</f>
        <v>5.5571447368421065</v>
      </c>
      <c r="AE108" s="24">
        <f ca="1">OFFSET(OtherTRA!AH$46,$E108,0)</f>
        <v>5.750952631578949</v>
      </c>
      <c r="AF108" s="24">
        <f ca="1">OFFSET(OtherTRA!AI$46,$E108,0)</f>
        <v>5.9447605263157914</v>
      </c>
      <c r="AG108" s="24">
        <f ca="1">OFFSET(OtherTRA!AJ$46,$E108,0)</f>
        <v>6.1385684210526339</v>
      </c>
      <c r="AH108" s="24">
        <f ca="1">OFFSET(OtherTRA!AK$46,$E108,0)</f>
        <v>6.3323763157894764</v>
      </c>
      <c r="AI108" s="24">
        <f ca="1">OFFSET(OtherTRA!AL$46,$E108,0)</f>
        <v>6.5261842105263153</v>
      </c>
      <c r="AJ108" s="24">
        <f ca="1">OFFSET(OtherTRA!AM$46,$E108,0)</f>
        <v>8.5235921052631589</v>
      </c>
      <c r="AK108" s="24">
        <f ca="1">OFFSET(OtherTRA!AN$46,$E108,0)</f>
        <v>10.521000000000001</v>
      </c>
      <c r="AL108" s="24">
        <f ca="1">OFFSET(OtherTRA!AO$46,$E108,0)</f>
        <v>10.521000000000001</v>
      </c>
      <c r="AM108" s="24">
        <f ca="1">OFFSET(OtherTRA!AP$46,$E108,0)</f>
        <v>10.521000000000001</v>
      </c>
    </row>
    <row r="109" spans="1:39">
      <c r="A109" s="36" t="s">
        <v>239</v>
      </c>
      <c r="B109">
        <v>82.184767358499997</v>
      </c>
      <c r="E109" s="152">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234">
        <f ca="1">OFFSET(COM!R$247,$E109,0)</f>
        <v>117.73360400439491</v>
      </c>
      <c r="P109" s="24">
        <f ca="1">OFFSET(COM!S$247,$E109,0)</f>
        <v>114.09741000805259</v>
      </c>
      <c r="Q109" s="24">
        <f ca="1">OFFSET(COM!T$247,$E109,0)</f>
        <v>110.49080746737891</v>
      </c>
      <c r="R109" s="24">
        <f ca="1">OFFSET(COM!U$247,$E109,0)</f>
        <v>106.9164566302499</v>
      </c>
      <c r="S109" s="24">
        <f ca="1">OFFSET(COM!V$247,$E109,0)</f>
        <v>103.37148810499093</v>
      </c>
      <c r="T109" s="234">
        <f ca="1">OFFSET(COM!W$247,$E109,0)</f>
        <v>99.868575509521605</v>
      </c>
      <c r="U109" s="24">
        <f ca="1">OFFSET(COM!X$247,$E109,0)</f>
        <v>96.434678961471533</v>
      </c>
      <c r="V109" s="24">
        <f ca="1">OFFSET(COM!Y$247,$E109,0)</f>
        <v>93.029815162933033</v>
      </c>
      <c r="W109" s="24">
        <f ca="1">OFFSET(COM!Z$247,$E109,0)</f>
        <v>89.666804311406963</v>
      </c>
      <c r="X109" s="24">
        <f ca="1">OFFSET(COM!AA$247,$E109,0)</f>
        <v>86.342291251969897</v>
      </c>
      <c r="Y109" s="246">
        <f ca="1">OFFSET(COM!AB$247,$E109,0)</f>
        <v>83.055244260279665</v>
      </c>
      <c r="Z109" s="24">
        <f ca="1">OFFSET(COM!AC$247,$E109,0)</f>
        <v>82.586146058950902</v>
      </c>
      <c r="AA109" s="24">
        <f ca="1">OFFSET(COM!AD$247,$E109,0)</f>
        <v>82.109456510154317</v>
      </c>
      <c r="AB109" s="24">
        <f ca="1">OFFSET(COM!AE$247,$E109,0)</f>
        <v>81.651902252471203</v>
      </c>
      <c r="AC109" s="24">
        <f ca="1">OFFSET(COM!AF$247,$E109,0)</f>
        <v>81.209151681094511</v>
      </c>
      <c r="AD109" s="24">
        <f ca="1">OFFSET(COM!AG$247,$E109,0)</f>
        <v>80.779613042112928</v>
      </c>
      <c r="AE109" s="24">
        <f ca="1">OFFSET(COM!AH$247,$E109,0)</f>
        <v>80.358764070532061</v>
      </c>
      <c r="AF109" s="24">
        <f ca="1">OFFSET(COM!AI$247,$E109,0)</f>
        <v>79.94506864890235</v>
      </c>
      <c r="AG109" s="24">
        <f ca="1">OFFSET(COM!AJ$247,$E109,0)</f>
        <v>79.531656358387025</v>
      </c>
      <c r="AH109" s="24">
        <f ca="1">OFFSET(COM!AK$247,$E109,0)</f>
        <v>79.125758292924075</v>
      </c>
      <c r="AI109" s="24">
        <f ca="1">OFFSET(COM!AL$247,$E109,0)</f>
        <v>78.733730004900238</v>
      </c>
      <c r="AJ109" s="24">
        <f ca="1">OFFSET(COM!AM$247,$E109,0)</f>
        <v>76.89788403267238</v>
      </c>
      <c r="AK109" s="24">
        <f ca="1">OFFSET(COM!AN$247,$E109,0)</f>
        <v>75.337179374071042</v>
      </c>
      <c r="AL109" s="24">
        <f ca="1">OFFSET(COM!AO$247,$E109,0)</f>
        <v>75.337179374071042</v>
      </c>
      <c r="AM109" s="24">
        <f ca="1">OFFSET(COM!AP$247,$E109,0)</f>
        <v>75.337179374071042</v>
      </c>
    </row>
    <row r="110" spans="1:39">
      <c r="A110" s="36" t="s">
        <v>245</v>
      </c>
      <c r="B110">
        <v>9.1664843454099998</v>
      </c>
      <c r="E110" s="152">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234">
        <f ca="1">OFFSET(COM!R$247,$E110,0)</f>
        <v>8.995453942310931</v>
      </c>
      <c r="P110" s="24">
        <f ca="1">OFFSET(COM!S$247,$E110,0)</f>
        <v>8.9064866037315635</v>
      </c>
      <c r="Q110" s="24">
        <f ca="1">OFFSET(COM!T$247,$E110,0)</f>
        <v>8.8115940418649217</v>
      </c>
      <c r="R110" s="24">
        <f ca="1">OFFSET(COM!U$247,$E110,0)</f>
        <v>8.7117357729933609</v>
      </c>
      <c r="S110" s="24">
        <f ca="1">OFFSET(COM!V$247,$E110,0)</f>
        <v>8.6058062983504389</v>
      </c>
      <c r="T110" s="234">
        <f ca="1">OFFSET(COM!W$247,$E110,0)</f>
        <v>8.4985659341647377</v>
      </c>
      <c r="U110" s="24">
        <f ca="1">OFFSET(COM!X$247,$E110,0)</f>
        <v>8.4003494140227186</v>
      </c>
      <c r="V110" s="24">
        <f ca="1">OFFSET(COM!Y$247,$E110,0)</f>
        <v>8.2960467074499018</v>
      </c>
      <c r="W110" s="24">
        <f ca="1">OFFSET(COM!Z$247,$E110,0)</f>
        <v>8.1905789141258705</v>
      </c>
      <c r="X110" s="24">
        <f ca="1">OFFSET(COM!AA$247,$E110,0)</f>
        <v>8.0827029228202978</v>
      </c>
      <c r="Y110" s="246">
        <f ca="1">OFFSET(COM!AB$247,$E110,0)</f>
        <v>7.9720557571069373</v>
      </c>
      <c r="Z110" s="24">
        <f ca="1">OFFSET(COM!AC$247,$E110,0)</f>
        <v>8.0714154114576537</v>
      </c>
      <c r="AA110" s="24">
        <f ca="1">OFFSET(COM!AD$247,$E110,0)</f>
        <v>8.1677890477388999</v>
      </c>
      <c r="AB110" s="24">
        <f ca="1">OFFSET(COM!AE$247,$E110,0)</f>
        <v>8.271689453842189</v>
      </c>
      <c r="AC110" s="24">
        <f ca="1">OFFSET(COM!AF$247,$E110,0)</f>
        <v>8.3814128149601359</v>
      </c>
      <c r="AD110" s="24">
        <f ca="1">OFFSET(COM!AG$247,$E110,0)</f>
        <v>8.4963330227553868</v>
      </c>
      <c r="AE110" s="24">
        <f ca="1">OFFSET(COM!AH$247,$E110,0)</f>
        <v>8.6146712672017376</v>
      </c>
      <c r="AF110" s="24">
        <f ca="1">OFFSET(COM!AI$247,$E110,0)</f>
        <v>8.7358233242822223</v>
      </c>
      <c r="AG110" s="24">
        <f ca="1">OFFSET(COM!AJ$247,$E110,0)</f>
        <v>8.8570867495522378</v>
      </c>
      <c r="AH110" s="24">
        <f ca="1">OFFSET(COM!AK$247,$E110,0)</f>
        <v>8.9813058571802991</v>
      </c>
      <c r="AI110" s="24">
        <f ca="1">OFFSET(COM!AL$247,$E110,0)</f>
        <v>9.1109805715011518</v>
      </c>
      <c r="AJ110" s="24">
        <f ca="1">OFFSET(COM!AM$247,$E110,0)</f>
        <v>9.8082451357322569</v>
      </c>
      <c r="AK110" s="24">
        <f ca="1">OFFSET(COM!AN$247,$E110,0)</f>
        <v>10.613735141840381</v>
      </c>
      <c r="AL110" s="24">
        <f ca="1">OFFSET(COM!AO$247,$E110,0)</f>
        <v>10.613735141840381</v>
      </c>
      <c r="AM110" s="24">
        <f ca="1">OFFSET(COM!AP$247,$E110,0)</f>
        <v>10.613735141840381</v>
      </c>
    </row>
    <row r="111" spans="1:39">
      <c r="A111" s="36" t="s">
        <v>240</v>
      </c>
      <c r="B111">
        <v>29.897246584059999</v>
      </c>
      <c r="E111" s="152">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234">
        <f ca="1">OFFSET(COM!R$247,$E111,0)</f>
        <v>11.227822695230378</v>
      </c>
      <c r="P111" s="24">
        <f ca="1">OFFSET(COM!S$247,$E111,0)</f>
        <v>10.88105218886867</v>
      </c>
      <c r="Q111" s="24">
        <f ca="1">OFFSET(COM!T$247,$E111,0)</f>
        <v>10.537103711275648</v>
      </c>
      <c r="R111" s="24">
        <f ca="1">OFFSET(COM!U$247,$E111,0)</f>
        <v>10.19623096054991</v>
      </c>
      <c r="S111" s="24">
        <f ca="1">OFFSET(COM!V$247,$E111,0)</f>
        <v>9.8581602933146293</v>
      </c>
      <c r="T111" s="234">
        <f ca="1">OFFSET(COM!W$247,$E111,0)</f>
        <v>9.5241003461023581</v>
      </c>
      <c r="U111" s="24">
        <f ca="1">OFFSET(COM!X$247,$E111,0)</f>
        <v>9.1966222066084669</v>
      </c>
      <c r="V111" s="24">
        <f ca="1">OFFSET(COM!Y$247,$E111,0)</f>
        <v>8.8719128141229397</v>
      </c>
      <c r="W111" s="24">
        <f ca="1">OFFSET(COM!Z$247,$E111,0)</f>
        <v>8.551194783936241</v>
      </c>
      <c r="X111" s="24">
        <f ca="1">OFFSET(COM!AA$247,$E111,0)</f>
        <v>8.234148147209277</v>
      </c>
      <c r="Y111" s="246">
        <f ca="1">OFFSET(COM!AB$247,$E111,0)</f>
        <v>7.9206745121695228</v>
      </c>
      <c r="Z111" s="24">
        <f ca="1">OFFSET(COM!AC$247,$E111,0)</f>
        <v>7.8759383344595948</v>
      </c>
      <c r="AA111" s="24">
        <f ca="1">OFFSET(COM!AD$247,$E111,0)</f>
        <v>7.8304781977397724</v>
      </c>
      <c r="AB111" s="24">
        <f ca="1">OFFSET(COM!AE$247,$E111,0)</f>
        <v>7.7868429236635439</v>
      </c>
      <c r="AC111" s="24">
        <f ca="1">OFFSET(COM!AF$247,$E111,0)</f>
        <v>7.7446194229420016</v>
      </c>
      <c r="AD111" s="24">
        <f ca="1">OFFSET(COM!AG$247,$E111,0)</f>
        <v>7.7036558958333288</v>
      </c>
      <c r="AE111" s="24">
        <f ca="1">OFFSET(COM!AH$247,$E111,0)</f>
        <v>7.6635210704847072</v>
      </c>
      <c r="AF111" s="24">
        <f ca="1">OFFSET(COM!AI$247,$E111,0)</f>
        <v>7.6240684529999534</v>
      </c>
      <c r="AG111" s="24">
        <f ca="1">OFFSET(COM!AJ$247,$E111,0)</f>
        <v>7.5846428366928045</v>
      </c>
      <c r="AH111" s="24">
        <f ca="1">OFFSET(COM!AK$247,$E111,0)</f>
        <v>7.5459338245131979</v>
      </c>
      <c r="AI111" s="24">
        <f ca="1">OFFSET(COM!AL$247,$E111,0)</f>
        <v>7.508547522219402</v>
      </c>
      <c r="AJ111" s="24">
        <f ca="1">OFFSET(COM!AM$247,$E111,0)</f>
        <v>7.333469614376221</v>
      </c>
      <c r="AK111" s="24">
        <f ca="1">OFFSET(COM!AN$247,$E111,0)</f>
        <v>7.1846309260970287</v>
      </c>
      <c r="AL111" s="24">
        <f ca="1">OFFSET(COM!AO$247,$E111,0)</f>
        <v>7.1846309260970287</v>
      </c>
      <c r="AM111" s="24">
        <f ca="1">OFFSET(COM!AP$247,$E111,0)</f>
        <v>7.1846309260970287</v>
      </c>
    </row>
    <row r="112" spans="1:39">
      <c r="A112" s="36" t="s">
        <v>241</v>
      </c>
      <c r="B112">
        <v>0.29916376652240001</v>
      </c>
      <c r="E112" s="152">
        <f>MATCH(F112,COM!$D$248:$D$266,0)</f>
        <v>3</v>
      </c>
      <c r="F112" s="4" t="str">
        <f t="shared" si="1"/>
        <v>CEK</v>
      </c>
      <c r="G112" s="24">
        <f ca="1">OFFSET(COM!J$247,$E112,0)</f>
        <v>9.8944997565297612</v>
      </c>
      <c r="H112" s="24">
        <f ca="1">OFFSET(COM!K$247,$E112,0)</f>
        <v>9.639891973427412</v>
      </c>
      <c r="I112" s="24">
        <f ca="1">OFFSET(COM!L$247,$E112,0)</f>
        <v>9.4068236837096606</v>
      </c>
      <c r="J112" s="24">
        <f ca="1">OFFSET(COM!M$247,$E112,0)</f>
        <v>9.1525319237345215</v>
      </c>
      <c r="K112" s="24">
        <f ca="1">OFFSET(COM!N$247,$E112,0)</f>
        <v>8.8871468025102622</v>
      </c>
      <c r="L112" s="24">
        <f ca="1">OFFSET(COM!O$247,$E112,0)</f>
        <v>8.579706769854079</v>
      </c>
      <c r="M112" s="24">
        <f ca="1">OFFSET(COM!P$247,$E112,0)</f>
        <v>8.5221310946817272</v>
      </c>
      <c r="N112" s="24">
        <f ca="1">OFFSET(COM!Q$247,$E112,0)</f>
        <v>8.4664739346856805</v>
      </c>
      <c r="O112" s="234">
        <f ca="1">OFFSET(COM!R$247,$E112,0)</f>
        <v>8.3978362805268461</v>
      </c>
      <c r="P112" s="24">
        <f ca="1">OFFSET(COM!S$247,$E112,0)</f>
        <v>8.1384697035521238</v>
      </c>
      <c r="Q112" s="24">
        <f ca="1">OFFSET(COM!T$247,$E112,0)</f>
        <v>7.8812138595504493</v>
      </c>
      <c r="R112" s="24">
        <f ca="1">OFFSET(COM!U$247,$E112,0)</f>
        <v>7.6262585017050117</v>
      </c>
      <c r="S112" s="24">
        <f ca="1">OFFSET(COM!V$247,$E112,0)</f>
        <v>7.3733989587861162</v>
      </c>
      <c r="T112" s="234">
        <f ca="1">OFFSET(COM!W$247,$E112,0)</f>
        <v>7.1235392290130566</v>
      </c>
      <c r="U112" s="24">
        <f ca="1">OFFSET(COM!X$247,$E112,0)</f>
        <v>6.8786023542893844</v>
      </c>
      <c r="V112" s="24">
        <f ca="1">OFFSET(COM!Y$247,$E112,0)</f>
        <v>6.6357363605111628</v>
      </c>
      <c r="W112" s="24">
        <f ca="1">OFFSET(COM!Z$247,$E112,0)</f>
        <v>6.3958557012926036</v>
      </c>
      <c r="X112" s="24">
        <f ca="1">OFFSET(COM!AA$247,$E112,0)</f>
        <v>6.1587210563310526</v>
      </c>
      <c r="Y112" s="246">
        <f ca="1">OFFSET(COM!AB$247,$E112,0)</f>
        <v>5.9242588336203408</v>
      </c>
      <c r="Z112" s="24">
        <f ca="1">OFFSET(COM!AC$247,$E112,0)</f>
        <v>5.8907984641059459</v>
      </c>
      <c r="AA112" s="24">
        <f ca="1">OFFSET(COM!AD$247,$E112,0)</f>
        <v>5.8567966103337419</v>
      </c>
      <c r="AB112" s="24">
        <f ca="1">OFFSET(COM!AE$247,$E112,0)</f>
        <v>5.8241596603484407</v>
      </c>
      <c r="AC112" s="24">
        <f ca="1">OFFSET(COM!AF$247,$E112,0)</f>
        <v>5.7925786445206029</v>
      </c>
      <c r="AD112" s="24">
        <f ca="1">OFFSET(COM!AG$247,$E112,0)</f>
        <v>5.7619400244186227</v>
      </c>
      <c r="AE112" s="24">
        <f ca="1">OFFSET(COM!AH$247,$E112,0)</f>
        <v>5.7319212307865826</v>
      </c>
      <c r="AF112" s="24">
        <f ca="1">OFFSET(COM!AI$247,$E112,0)</f>
        <v>5.7024126936936375</v>
      </c>
      <c r="AG112" s="24">
        <f ca="1">OFFSET(COM!AJ$247,$E112,0)</f>
        <v>5.6729243520985246</v>
      </c>
      <c r="AH112" s="24">
        <f ca="1">OFFSET(COM!AK$247,$E112,0)</f>
        <v>5.6439719936859403</v>
      </c>
      <c r="AI112" s="24">
        <f ca="1">OFFSET(COM!AL$247,$E112,0)</f>
        <v>5.6160089545179854</v>
      </c>
      <c r="AJ112" s="24">
        <f ca="1">OFFSET(COM!AM$247,$E112,0)</f>
        <v>5.4850596470419442</v>
      </c>
      <c r="AK112" s="24">
        <f ca="1">OFFSET(COM!AN$247,$E112,0)</f>
        <v>5.37373593181192</v>
      </c>
      <c r="AL112" s="24">
        <f ca="1">OFFSET(COM!AO$247,$E112,0)</f>
        <v>5.37373593181192</v>
      </c>
      <c r="AM112" s="24">
        <f ca="1">OFFSET(COM!AP$247,$E112,0)</f>
        <v>5.37373593181192</v>
      </c>
    </row>
    <row r="113" spans="1:39">
      <c r="A113" s="36" t="s">
        <v>242</v>
      </c>
      <c r="B113">
        <v>177.48088542799999</v>
      </c>
      <c r="E113" s="152">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234">
        <f ca="1">OFFSET(COM!R$247,$E113,0)</f>
        <v>102.45542043359663</v>
      </c>
      <c r="P113" s="24">
        <f ca="1">OFFSET(COM!S$247,$E113,0)</f>
        <v>99.291092051536197</v>
      </c>
      <c r="Q113" s="24">
        <f ca="1">OFFSET(COM!T$247,$E113,0)</f>
        <v>96.152515068640085</v>
      </c>
      <c r="R113" s="24">
        <f ca="1">OFFSET(COM!U$247,$E113,0)</f>
        <v>93.042004514817563</v>
      </c>
      <c r="S113" s="24">
        <f ca="1">OFFSET(COM!V$247,$E113,0)</f>
        <v>89.957063356762845</v>
      </c>
      <c r="T113" s="234">
        <f ca="1">OFFSET(COM!W$247,$E113,0)</f>
        <v>86.9087205684324</v>
      </c>
      <c r="U113" s="24">
        <f ca="1">OFFSET(COM!X$247,$E113,0)</f>
        <v>83.920437677314808</v>
      </c>
      <c r="V113" s="24">
        <f ca="1">OFFSET(COM!Y$247,$E113,0)</f>
        <v>80.957419981998427</v>
      </c>
      <c r="W113" s="24">
        <f ca="1">OFFSET(COM!Z$247,$E113,0)</f>
        <v>78.03082401452096</v>
      </c>
      <c r="X113" s="24">
        <f ca="1">OFFSET(COM!AA$247,$E113,0)</f>
        <v>75.137730015386325</v>
      </c>
      <c r="Y113" s="246">
        <f ca="1">OFFSET(COM!AB$247,$E113,0)</f>
        <v>72.277240146189399</v>
      </c>
      <c r="Z113" s="24">
        <f ca="1">OFFSET(COM!AC$247,$E113,0)</f>
        <v>71.869016395220314</v>
      </c>
      <c r="AA113" s="24">
        <f ca="1">OFFSET(COM!AD$247,$E113,0)</f>
        <v>71.454186419095308</v>
      </c>
      <c r="AB113" s="24">
        <f ca="1">OFFSET(COM!AE$247,$E113,0)</f>
        <v>71.056008564620086</v>
      </c>
      <c r="AC113" s="24">
        <f ca="1">OFFSET(COM!AF$247,$E113,0)</f>
        <v>70.67071333543538</v>
      </c>
      <c r="AD113" s="24">
        <f ca="1">OFFSET(COM!AG$247,$E113,0)</f>
        <v>70.296915538098858</v>
      </c>
      <c r="AE113" s="24">
        <f ca="1">OFFSET(COM!AH$247,$E113,0)</f>
        <v>69.930679757864397</v>
      </c>
      <c r="AF113" s="24">
        <f ca="1">OFFSET(COM!AI$247,$E113,0)</f>
        <v>69.570669217857969</v>
      </c>
      <c r="AG113" s="24">
        <f ca="1">OFFSET(COM!AJ$247,$E113,0)</f>
        <v>69.210905067296636</v>
      </c>
      <c r="AH113" s="24">
        <f ca="1">OFFSET(COM!AK$247,$E113,0)</f>
        <v>68.857680027582091</v>
      </c>
      <c r="AI113" s="24">
        <f ca="1">OFFSET(COM!AL$247,$E113,0)</f>
        <v>68.516524896801869</v>
      </c>
      <c r="AJ113" s="24">
        <f ca="1">OFFSET(COM!AM$247,$E113,0)</f>
        <v>66.918915000064928</v>
      </c>
      <c r="AK113" s="24">
        <f ca="1">OFFSET(COM!AN$247,$E113,0)</f>
        <v>65.560741576921401</v>
      </c>
      <c r="AL113" s="24">
        <f ca="1">OFFSET(COM!AO$247,$E113,0)</f>
        <v>65.560741576921401</v>
      </c>
      <c r="AM113" s="24">
        <f ca="1">OFFSET(COM!AP$247,$E113,0)</f>
        <v>65.560741576921401</v>
      </c>
    </row>
    <row r="114" spans="1:39">
      <c r="A114" s="36" t="s">
        <v>247</v>
      </c>
      <c r="B114">
        <v>30.831061307799999</v>
      </c>
      <c r="E114" s="152">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234">
        <f ca="1">OFFSET(COM!R$247,$E114,0)</f>
        <v>16.638896048973443</v>
      </c>
      <c r="P114" s="24">
        <f ca="1">OFFSET(COM!S$247,$E114,0)</f>
        <v>16.125004926462807</v>
      </c>
      <c r="Q114" s="24">
        <f ca="1">OFFSET(COM!T$247,$E114,0)</f>
        <v>15.615295865301368</v>
      </c>
      <c r="R114" s="24">
        <f ca="1">OFFSET(COM!U$247,$E114,0)</f>
        <v>15.110144829414189</v>
      </c>
      <c r="S114" s="24">
        <f ca="1">OFFSET(COM!V$247,$E114,0)</f>
        <v>14.609146297283422</v>
      </c>
      <c r="T114" s="234">
        <f ca="1">OFFSET(COM!W$247,$E114,0)</f>
        <v>14.114091388894838</v>
      </c>
      <c r="U114" s="24">
        <f ca="1">OFFSET(COM!X$247,$E114,0)</f>
        <v>13.628790287403023</v>
      </c>
      <c r="V114" s="24">
        <f ca="1">OFFSET(COM!Y$247,$E114,0)</f>
        <v>13.14759228718993</v>
      </c>
      <c r="W114" s="24">
        <f ca="1">OFFSET(COM!Z$247,$E114,0)</f>
        <v>12.672309223842754</v>
      </c>
      <c r="X114" s="24">
        <f ca="1">OFFSET(COM!AA$247,$E114,0)</f>
        <v>12.202466924550164</v>
      </c>
      <c r="Y114" s="246">
        <f ca="1">OFFSET(COM!AB$247,$E114,0)</f>
        <v>11.737919579165389</v>
      </c>
      <c r="Z114" s="24">
        <f ca="1">OFFSET(COM!AC$247,$E114,0)</f>
        <v>11.671623501043307</v>
      </c>
      <c r="AA114" s="24">
        <f ca="1">OFFSET(COM!AD$247,$E114,0)</f>
        <v>11.604254563201549</v>
      </c>
      <c r="AB114" s="24">
        <f ca="1">OFFSET(COM!AE$247,$E114,0)</f>
        <v>11.539589951982558</v>
      </c>
      <c r="AC114" s="24">
        <f ca="1">OFFSET(COM!AF$247,$E114,0)</f>
        <v>11.477017496182382</v>
      </c>
      <c r="AD114" s="24">
        <f ca="1">OFFSET(COM!AG$247,$E114,0)</f>
        <v>11.41631223855037</v>
      </c>
      <c r="AE114" s="24">
        <f ca="1">OFFSET(COM!AH$247,$E114,0)</f>
        <v>11.356835062516668</v>
      </c>
      <c r="AF114" s="24">
        <f ca="1">OFFSET(COM!AI$247,$E114,0)</f>
        <v>11.298368873745483</v>
      </c>
      <c r="AG114" s="24">
        <f ca="1">OFFSET(COM!AJ$247,$E114,0)</f>
        <v>11.239942698946694</v>
      </c>
      <c r="AH114" s="24">
        <f ca="1">OFFSET(COM!AK$247,$E114,0)</f>
        <v>11.182578484414829</v>
      </c>
      <c r="AI114" s="24">
        <f ca="1">OFFSET(COM!AL$247,$E114,0)</f>
        <v>11.127174439088551</v>
      </c>
      <c r="AJ114" s="24">
        <f ca="1">OFFSET(COM!AM$247,$E114,0)</f>
        <v>10.867720474758322</v>
      </c>
      <c r="AK114" s="24">
        <f ca="1">OFFSET(COM!AN$247,$E114,0)</f>
        <v>10.647151311033008</v>
      </c>
      <c r="AL114" s="24">
        <f ca="1">OFFSET(COM!AO$247,$E114,0)</f>
        <v>10.647151311033008</v>
      </c>
      <c r="AM114" s="24">
        <f ca="1">OFFSET(COM!AP$247,$E114,0)</f>
        <v>10.647151311033008</v>
      </c>
    </row>
    <row r="115" spans="1:39">
      <c r="A115" s="36" t="s">
        <v>243</v>
      </c>
      <c r="B115">
        <v>7.3604096683640003</v>
      </c>
      <c r="E115" s="152">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234">
        <f ca="1">OFFSET(COM!R$247,$E115,0)</f>
        <v>24.923730290785286</v>
      </c>
      <c r="P115" s="24">
        <f ca="1">OFFSET(COM!S$247,$E115,0)</f>
        <v>24.153962651238416</v>
      </c>
      <c r="Q115" s="24">
        <f ca="1">OFFSET(COM!T$247,$E115,0)</f>
        <v>23.390459403801472</v>
      </c>
      <c r="R115" s="24">
        <f ca="1">OFFSET(COM!U$247,$E115,0)</f>
        <v>22.633783712246828</v>
      </c>
      <c r="S115" s="24">
        <f ca="1">OFFSET(COM!V$247,$E115,0)</f>
        <v>21.88332813790138</v>
      </c>
      <c r="T115" s="234">
        <f ca="1">OFFSET(COM!W$247,$E115,0)</f>
        <v>21.141775634689022</v>
      </c>
      <c r="U115" s="24">
        <f ca="1">OFFSET(COM!X$247,$E115,0)</f>
        <v>20.41483355104344</v>
      </c>
      <c r="V115" s="24">
        <f ca="1">OFFSET(COM!Y$247,$E115,0)</f>
        <v>19.694037583662166</v>
      </c>
      <c r="W115" s="24">
        <f ca="1">OFFSET(COM!Z$247,$E115,0)</f>
        <v>18.982101716776693</v>
      </c>
      <c r="X115" s="24">
        <f ca="1">OFFSET(COM!AA$247,$E115,0)</f>
        <v>18.278315677588509</v>
      </c>
      <c r="Y115" s="246">
        <f ca="1">OFFSET(COM!AB$247,$E115,0)</f>
        <v>17.582461054205304</v>
      </c>
      <c r="Z115" s="24">
        <f ca="1">OFFSET(COM!AC$247,$E115,0)</f>
        <v>17.483154852304153</v>
      </c>
      <c r="AA115" s="24">
        <f ca="1">OFFSET(COM!AD$247,$E115,0)</f>
        <v>17.382241592686292</v>
      </c>
      <c r="AB115" s="24">
        <f ca="1">OFFSET(COM!AE$247,$E115,0)</f>
        <v>17.28537919721024</v>
      </c>
      <c r="AC115" s="24">
        <f ca="1">OFFSET(COM!AF$247,$E115,0)</f>
        <v>17.191650682565673</v>
      </c>
      <c r="AD115" s="24">
        <f ca="1">OFFSET(COM!AG$247,$E115,0)</f>
        <v>17.100719080853651</v>
      </c>
      <c r="AE115" s="24">
        <f ca="1">OFFSET(COM!AH$247,$E115,0)</f>
        <v>17.011627046769277</v>
      </c>
      <c r="AF115" s="24">
        <f ca="1">OFFSET(COM!AI$247,$E115,0)</f>
        <v>16.924049390428728</v>
      </c>
      <c r="AG115" s="24">
        <f ca="1">OFFSET(COM!AJ$247,$E115,0)</f>
        <v>16.836531671805968</v>
      </c>
      <c r="AH115" s="24">
        <f ca="1">OFFSET(COM!AK$247,$E115,0)</f>
        <v>16.750604684394858</v>
      </c>
      <c r="AI115" s="24">
        <f ca="1">OFFSET(COM!AL$247,$E115,0)</f>
        <v>16.667613873065413</v>
      </c>
      <c r="AJ115" s="24">
        <f ca="1">OFFSET(COM!AM$247,$E115,0)</f>
        <v>16.278972666893527</v>
      </c>
      <c r="AK115" s="24">
        <f ca="1">OFFSET(COM!AN$247,$E115,0)</f>
        <v>15.948577769841874</v>
      </c>
      <c r="AL115" s="24">
        <f ca="1">OFFSET(COM!AO$247,$E115,0)</f>
        <v>15.948577769841874</v>
      </c>
      <c r="AM115" s="24">
        <f ca="1">OFFSET(COM!AP$247,$E115,0)</f>
        <v>15.948577769841874</v>
      </c>
    </row>
    <row r="116" spans="1:39">
      <c r="A116" s="36" t="s">
        <v>246</v>
      </c>
      <c r="B116">
        <v>3.1678360284579998</v>
      </c>
      <c r="E116" s="152">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234">
        <f ca="1">OFFSET(COM!R$247,$E116,0)</f>
        <v>3.1083749207455065</v>
      </c>
      <c r="P116" s="24">
        <f ca="1">OFFSET(COM!S$247,$E116,0)</f>
        <v>3.0776322983298847</v>
      </c>
      <c r="Q116" s="24">
        <f ca="1">OFFSET(COM!T$247,$E116,0)</f>
        <v>3.044842217766615</v>
      </c>
      <c r="R116" s="24">
        <f ca="1">OFFSET(COM!U$247,$E116,0)</f>
        <v>3.0103362394602344</v>
      </c>
      <c r="S116" s="24">
        <f ca="1">OFFSET(COM!V$247,$E116,0)</f>
        <v>2.973732358826811</v>
      </c>
      <c r="T116" s="234">
        <f ca="1">OFFSET(COM!W$247,$E116,0)</f>
        <v>2.936675500922338</v>
      </c>
      <c r="U116" s="24">
        <f ca="1">OFFSET(COM!X$247,$E116,0)</f>
        <v>2.9027368281249188</v>
      </c>
      <c r="V116" s="24">
        <f ca="1">OFFSET(COM!Y$247,$E116,0)</f>
        <v>2.8666950764405636</v>
      </c>
      <c r="W116" s="24">
        <f ca="1">OFFSET(COM!Z$247,$E116,0)</f>
        <v>2.8302507295718859</v>
      </c>
      <c r="X116" s="24">
        <f ca="1">OFFSET(COM!AA$247,$E116,0)</f>
        <v>2.7929742310121419</v>
      </c>
      <c r="Y116" s="246">
        <f ca="1">OFFSET(COM!AB$247,$E116,0)</f>
        <v>2.7547401544262726</v>
      </c>
      <c r="Z116" s="24">
        <f ca="1">OFFSET(COM!AC$247,$E116,0)</f>
        <v>2.7890738367171699</v>
      </c>
      <c r="AA116" s="24">
        <f ca="1">OFFSET(COM!AD$247,$E116,0)</f>
        <v>2.8223757018546975</v>
      </c>
      <c r="AB116" s="24">
        <f ca="1">OFFSET(COM!AE$247,$E116,0)</f>
        <v>2.8582784387991516</v>
      </c>
      <c r="AC116" s="24">
        <f ca="1">OFFSET(COM!AF$247,$E116,0)</f>
        <v>2.8961932951372749</v>
      </c>
      <c r="AD116" s="24">
        <f ca="1">OFFSET(COM!AG$247,$E116,0)</f>
        <v>2.9359039194246632</v>
      </c>
      <c r="AE116" s="24">
        <f ca="1">OFFSET(COM!AH$247,$E116,0)</f>
        <v>2.9767956446851227</v>
      </c>
      <c r="AF116" s="24">
        <f ca="1">OFFSET(COM!AI$247,$E116,0)</f>
        <v>3.0186596815909641</v>
      </c>
      <c r="AG116" s="24">
        <f ca="1">OFFSET(COM!AJ$247,$E116,0)</f>
        <v>3.0605622017228367</v>
      </c>
      <c r="AH116" s="24">
        <f ca="1">OFFSET(COM!AK$247,$E116,0)</f>
        <v>3.1034860565171236</v>
      </c>
      <c r="AI116" s="24">
        <f ca="1">OFFSET(COM!AL$247,$E116,0)</f>
        <v>3.1482950936635277</v>
      </c>
      <c r="AJ116" s="24">
        <f ca="1">OFFSET(COM!AM$247,$E116,0)</f>
        <v>3.3892345391301024</v>
      </c>
      <c r="AK116" s="24">
        <f ca="1">OFFSET(COM!AN$247,$E116,0)</f>
        <v>3.6675712356386527</v>
      </c>
      <c r="AL116" s="24">
        <f ca="1">OFFSET(COM!AO$247,$E116,0)</f>
        <v>3.6675712356386527</v>
      </c>
      <c r="AM116" s="24">
        <f ca="1">OFFSET(COM!AP$247,$E116,0)</f>
        <v>3.6675712356386527</v>
      </c>
    </row>
    <row r="117" spans="1:39">
      <c r="A117" s="36" t="s">
        <v>244</v>
      </c>
      <c r="B117">
        <v>31.577350492680001</v>
      </c>
      <c r="E117" s="152">
        <f>MATCH(F117,COM!$D$248:$D$266,0)</f>
        <v>6</v>
      </c>
      <c r="F117" s="4" t="str">
        <f t="shared" si="1"/>
        <v>CEW</v>
      </c>
      <c r="G117" s="24">
        <f ca="1">OFFSET(COM!J$247,$E117,0)</f>
        <v>9.6831090230750316</v>
      </c>
      <c r="H117" s="24">
        <f ca="1">OFFSET(COM!K$247,$E117,0)</f>
        <v>10.373780123530006</v>
      </c>
      <c r="I117" s="24">
        <f ca="1">OFFSET(COM!L$247,$E117,0)</f>
        <v>11.107846566457823</v>
      </c>
      <c r="J117" s="24">
        <f ca="1">OFFSET(COM!M$247,$E117,0)</f>
        <v>11.839343352056451</v>
      </c>
      <c r="K117" s="24">
        <f ca="1">OFFSET(COM!N$247,$E117,0)</f>
        <v>12.577835119303142</v>
      </c>
      <c r="L117" s="24">
        <f ca="1">OFFSET(COM!O$247,$E117,0)</f>
        <v>13.273861719969343</v>
      </c>
      <c r="M117" s="24">
        <f ca="1">OFFSET(COM!P$247,$E117,0)</f>
        <v>13.184785068380622</v>
      </c>
      <c r="N117" s="24">
        <f ca="1">OFFSET(COM!Q$247,$E117,0)</f>
        <v>13.098676595756643</v>
      </c>
      <c r="O117" s="234">
        <f ca="1">OFFSET(COM!R$247,$E117,0)</f>
        <v>12.992485701996889</v>
      </c>
      <c r="P117" s="24">
        <f ca="1">OFFSET(COM!S$247,$E117,0)</f>
        <v>12.591213704025932</v>
      </c>
      <c r="Q117" s="24">
        <f ca="1">OFFSET(COM!T$247,$E117,0)</f>
        <v>12.193207269595039</v>
      </c>
      <c r="R117" s="24">
        <f ca="1">OFFSET(COM!U$247,$E117,0)</f>
        <v>11.798759970219187</v>
      </c>
      <c r="S117" s="24">
        <f ca="1">OFFSET(COM!V$247,$E117,0)</f>
        <v>11.407555154330453</v>
      </c>
      <c r="T117" s="234">
        <f ca="1">OFFSET(COM!W$247,$E117,0)</f>
        <v>11.020991418370405</v>
      </c>
      <c r="U117" s="24">
        <f ca="1">OFFSET(COM!X$247,$E117,0)</f>
        <v>10.642043944707648</v>
      </c>
      <c r="V117" s="24">
        <f ca="1">OFFSET(COM!Y$247,$E117,0)</f>
        <v>10.266300378596251</v>
      </c>
      <c r="W117" s="24">
        <f ca="1">OFFSET(COM!Z$247,$E117,0)</f>
        <v>9.8951754922597903</v>
      </c>
      <c r="X117" s="24">
        <f ca="1">OFFSET(COM!AA$247,$E117,0)</f>
        <v>9.5282990277524622</v>
      </c>
      <c r="Y117" s="246">
        <f ca="1">OFFSET(COM!AB$247,$E117,0)</f>
        <v>9.165557129188544</v>
      </c>
      <c r="Z117" s="24">
        <f ca="1">OFFSET(COM!AC$247,$E117,0)</f>
        <v>9.1137898217563436</v>
      </c>
      <c r="AA117" s="24">
        <f ca="1">OFFSET(COM!AD$247,$E117,0)</f>
        <v>9.0611847715720337</v>
      </c>
      <c r="AB117" s="24">
        <f ca="1">OFFSET(COM!AE$247,$E117,0)</f>
        <v>9.0106913954360763</v>
      </c>
      <c r="AC117" s="24">
        <f ca="1">OFFSET(COM!AF$247,$E117,0)</f>
        <v>8.9618316793269202</v>
      </c>
      <c r="AD117" s="24">
        <f ca="1">OFFSET(COM!AG$247,$E117,0)</f>
        <v>8.9144299653250698</v>
      </c>
      <c r="AE117" s="24">
        <f ca="1">OFFSET(COM!AH$247,$E117,0)</f>
        <v>8.8679871991139851</v>
      </c>
      <c r="AF117" s="24">
        <f ca="1">OFFSET(COM!AI$247,$E117,0)</f>
        <v>8.8223338625329966</v>
      </c>
      <c r="AG117" s="24">
        <f ca="1">OFFSET(COM!AJ$247,$E117,0)</f>
        <v>8.7767117708713016</v>
      </c>
      <c r="AH117" s="24">
        <f ca="1">OFFSET(COM!AK$247,$E117,0)</f>
        <v>8.7319189111216016</v>
      </c>
      <c r="AI117" s="24">
        <f ca="1">OFFSET(COM!AL$247,$E117,0)</f>
        <v>8.6886566499345754</v>
      </c>
      <c r="AJ117" s="24">
        <f ca="1">OFFSET(COM!AM$247,$E117,0)</f>
        <v>8.4860619638469181</v>
      </c>
      <c r="AK117" s="24">
        <f ca="1">OFFSET(COM!AN$247,$E117,0)</f>
        <v>8.3138304830102232</v>
      </c>
      <c r="AL117" s="24">
        <f ca="1">OFFSET(COM!AO$247,$E117,0)</f>
        <v>8.3138304830102232</v>
      </c>
      <c r="AM117" s="24">
        <f ca="1">OFFSET(COM!AP$247,$E117,0)</f>
        <v>8.3138304830102232</v>
      </c>
    </row>
    <row r="118" spans="1:39">
      <c r="A118" s="36" t="s">
        <v>248</v>
      </c>
      <c r="B118" t="s">
        <v>387</v>
      </c>
      <c r="E118" s="152">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234">
        <f ca="1">OFFSET(COM!R$247,$E118,0)</f>
        <v>4.2350555604682834</v>
      </c>
      <c r="P118" s="24">
        <f ca="1">OFFSET(COM!S$247,$E118,0)</f>
        <v>6.0488138591626592</v>
      </c>
      <c r="Q118" s="24">
        <f ca="1">OFFSET(COM!T$247,$E118,0)</f>
        <v>7.7403712998837166</v>
      </c>
      <c r="R118" s="24">
        <f ca="1">OFFSET(COM!U$247,$E118,0)</f>
        <v>9.3203688741353421</v>
      </c>
      <c r="S118" s="24">
        <f ca="1">OFFSET(COM!V$247,$E118,0)</f>
        <v>10.777329015219186</v>
      </c>
      <c r="T118" s="234">
        <f ca="1">OFFSET(COM!W$247,$E118,0)</f>
        <v>12.16194619481365</v>
      </c>
      <c r="U118" s="24">
        <f ca="1">OFFSET(COM!X$247,$E118,0)</f>
        <v>13.582060883437038</v>
      </c>
      <c r="V118" s="24">
        <f ca="1">OFFSET(COM!Y$247,$E118,0)</f>
        <v>14.877739889458754</v>
      </c>
      <c r="W118" s="24">
        <f ca="1">OFFSET(COM!Z$247,$E118,0)</f>
        <v>16.100264002882231</v>
      </c>
      <c r="X118" s="24">
        <f ca="1">OFFSET(COM!AA$247,$E118,0)</f>
        <v>17.236212604013634</v>
      </c>
      <c r="Y118" s="246">
        <f ca="1">OFFSET(COM!AB$247,$E118,0)</f>
        <v>18.28145879548449</v>
      </c>
      <c r="Z118" s="24">
        <f ca="1">OFFSET(COM!AC$247,$E118,0)</f>
        <v>19.996245125845302</v>
      </c>
      <c r="AA118" s="24">
        <f ca="1">OFFSET(COM!AD$247,$E118,0)</f>
        <v>21.680969720233577</v>
      </c>
      <c r="AB118" s="24">
        <f ca="1">OFFSET(COM!AE$247,$E118,0)</f>
        <v>23.441470067431219</v>
      </c>
      <c r="AC118" s="24">
        <f ca="1">OFFSET(COM!AF$247,$E118,0)</f>
        <v>25.26059301240225</v>
      </c>
      <c r="AD118" s="24">
        <f ca="1">OFFSET(COM!AG$247,$E118,0)</f>
        <v>27.1320352096579</v>
      </c>
      <c r="AE118" s="24">
        <f ca="1">OFFSET(COM!AH$247,$E118,0)</f>
        <v>29.037888489820382</v>
      </c>
      <c r="AF118" s="24">
        <f ca="1">OFFSET(COM!AI$247,$E118,0)</f>
        <v>30.972069827789475</v>
      </c>
      <c r="AG118" s="24">
        <f ca="1">OFFSET(COM!AJ$247,$E118,0)</f>
        <v>32.907372364971572</v>
      </c>
      <c r="AH118" s="24">
        <f ca="1">OFFSET(COM!AK$247,$E118,0)</f>
        <v>34.872431233361006</v>
      </c>
      <c r="AI118" s="24">
        <f ca="1">OFFSET(COM!AL$247,$E118,0)</f>
        <v>36.892414420409338</v>
      </c>
      <c r="AJ118" s="24">
        <f ca="1">OFFSET(COM!AM$247,$E118,0)</f>
        <v>47.272697888738946</v>
      </c>
      <c r="AK118" s="24">
        <f ca="1">OFFSET(COM!AN$247,$E118,0)</f>
        <v>58.720749766990238</v>
      </c>
      <c r="AL118" s="24">
        <f ca="1">OFFSET(COM!AO$247,$E118,0)</f>
        <v>58.720749766990238</v>
      </c>
      <c r="AM118" s="24">
        <f ca="1">OFFSET(COM!AP$247,$E118,0)</f>
        <v>58.720749766990238</v>
      </c>
    </row>
    <row r="119" spans="1:39">
      <c r="A119" s="36" t="s">
        <v>254</v>
      </c>
      <c r="B119" t="s">
        <v>387</v>
      </c>
      <c r="E119" s="152">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34">
        <f ca="1">OFFSET(COM!R$247,$E119,0)</f>
        <v>0</v>
      </c>
      <c r="P119" s="24">
        <f ca="1">OFFSET(COM!S$247,$E119,0)</f>
        <v>0</v>
      </c>
      <c r="Q119" s="24">
        <f ca="1">OFFSET(COM!T$247,$E119,0)</f>
        <v>0</v>
      </c>
      <c r="R119" s="24">
        <f ca="1">OFFSET(COM!U$247,$E119,0)</f>
        <v>0</v>
      </c>
      <c r="S119" s="24">
        <f ca="1">OFFSET(COM!V$247,$E119,0)</f>
        <v>0</v>
      </c>
      <c r="T119" s="234">
        <f ca="1">OFFSET(COM!W$247,$E119,0)</f>
        <v>0</v>
      </c>
      <c r="U119" s="24">
        <f ca="1">OFFSET(COM!X$247,$E119,0)</f>
        <v>0</v>
      </c>
      <c r="V119" s="24">
        <f ca="1">OFFSET(COM!Y$247,$E119,0)</f>
        <v>0</v>
      </c>
      <c r="W119" s="24">
        <f ca="1">OFFSET(COM!Z$247,$E119,0)</f>
        <v>0</v>
      </c>
      <c r="X119" s="24">
        <f ca="1">OFFSET(COM!AA$247,$E119,0)</f>
        <v>0</v>
      </c>
      <c r="Y119" s="24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387</v>
      </c>
      <c r="E120" s="152">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234">
        <f ca="1">OFFSET(COM!R$247,$E120,0)</f>
        <v>0.40388174081218448</v>
      </c>
      <c r="P120" s="24">
        <f ca="1">OFFSET(COM!S$247,$E120,0)</f>
        <v>0.57685322811145179</v>
      </c>
      <c r="Q120" s="24">
        <f ca="1">OFFSET(COM!T$247,$E120,0)</f>
        <v>0.73817086706272961</v>
      </c>
      <c r="R120" s="24">
        <f ca="1">OFFSET(COM!U$247,$E120,0)</f>
        <v>0.88884945006040228</v>
      </c>
      <c r="S120" s="24">
        <f ca="1">OFFSET(COM!V$247,$E120,0)</f>
        <v>1.0277944035971733</v>
      </c>
      <c r="T120" s="234">
        <f ca="1">OFFSET(COM!W$247,$E120,0)</f>
        <v>1.1598402738032385</v>
      </c>
      <c r="U120" s="24">
        <f ca="1">OFFSET(COM!X$247,$E120,0)</f>
        <v>1.2952714114600838</v>
      </c>
      <c r="V120" s="24">
        <f ca="1">OFFSET(COM!Y$247,$E120,0)</f>
        <v>1.4188355737276477</v>
      </c>
      <c r="W120" s="24">
        <f ca="1">OFFSET(COM!Z$247,$E120,0)</f>
        <v>1.5354232217677954</v>
      </c>
      <c r="X120" s="24">
        <f ca="1">OFFSET(COM!AA$247,$E120,0)</f>
        <v>1.6437544802241517</v>
      </c>
      <c r="Y120" s="246">
        <f ca="1">OFFSET(COM!AB$247,$E120,0)</f>
        <v>1.743435782006618</v>
      </c>
      <c r="Z120" s="24">
        <f ca="1">OFFSET(COM!AC$247,$E120,0)</f>
        <v>1.9069686751029447</v>
      </c>
      <c r="AA120" s="24">
        <f ca="1">OFFSET(COM!AD$247,$E120,0)</f>
        <v>2.0676346905200838</v>
      </c>
      <c r="AB120" s="24">
        <f ca="1">OFFSET(COM!AE$247,$E120,0)</f>
        <v>2.2355271620058694</v>
      </c>
      <c r="AC120" s="24">
        <f ca="1">OFFSET(COM!AF$247,$E120,0)</f>
        <v>2.4090102559761992</v>
      </c>
      <c r="AD120" s="24">
        <f ca="1">OFFSET(COM!AG$247,$E120,0)</f>
        <v>2.5874828454534939</v>
      </c>
      <c r="AE120" s="24">
        <f ca="1">OFFSET(COM!AH$247,$E120,0)</f>
        <v>2.7692370939005966</v>
      </c>
      <c r="AF120" s="24">
        <f ca="1">OFFSET(COM!AI$247,$E120,0)</f>
        <v>2.9536928854886106</v>
      </c>
      <c r="AG120" s="24">
        <f ca="1">OFFSET(COM!AJ$247,$E120,0)</f>
        <v>3.138255601739945</v>
      </c>
      <c r="AH120" s="24">
        <f ca="1">OFFSET(COM!AK$247,$E120,0)</f>
        <v>3.3256560703363447</v>
      </c>
      <c r="AI120" s="24">
        <f ca="1">OFFSET(COM!AL$247,$E120,0)</f>
        <v>3.5182944700805541</v>
      </c>
      <c r="AJ120" s="24">
        <f ca="1">OFFSET(COM!AM$247,$E120,0)</f>
        <v>4.5082240937781792</v>
      </c>
      <c r="AK120" s="24">
        <f ca="1">OFFSET(COM!AN$247,$E120,0)</f>
        <v>5.5999828807597307</v>
      </c>
      <c r="AL120" s="24">
        <f ca="1">OFFSET(COM!AO$247,$E120,0)</f>
        <v>5.5999828807597307</v>
      </c>
      <c r="AM120" s="24">
        <f ca="1">OFFSET(COM!AP$247,$E120,0)</f>
        <v>5.5999828807597307</v>
      </c>
    </row>
    <row r="121" spans="1:39">
      <c r="A121" s="36" t="s">
        <v>250</v>
      </c>
      <c r="B121" t="s">
        <v>387</v>
      </c>
      <c r="E121" s="152">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0.1128855701047503</v>
      </c>
      <c r="N121" s="24">
        <f ca="1">OFFSET(COM!Q$247,$E121,0)</f>
        <v>0.23344520091472726</v>
      </c>
      <c r="O121" s="234">
        <f ca="1">OFFSET(COM!R$247,$E121,0)</f>
        <v>0.30208285507355981</v>
      </c>
      <c r="P121" s="24">
        <f ca="1">OFFSET(COM!S$247,$E121,0)</f>
        <v>0.43145666787482001</v>
      </c>
      <c r="Q121" s="24">
        <f ca="1">OFFSET(COM!T$247,$E121,0)</f>
        <v>0.55211399902856739</v>
      </c>
      <c r="R121" s="24">
        <f ca="1">OFFSET(COM!U$247,$E121,0)</f>
        <v>0.66481386126755415</v>
      </c>
      <c r="S121" s="24">
        <f ca="1">OFFSET(COM!V$247,$E121,0)</f>
        <v>0.76873756967300377</v>
      </c>
      <c r="T121" s="234">
        <f ca="1">OFFSET(COM!W$247,$E121,0)</f>
        <v>0.867501117122083</v>
      </c>
      <c r="U121" s="24">
        <f ca="1">OFFSET(COM!X$247,$E121,0)</f>
        <v>0.96879667122900903</v>
      </c>
      <c r="V121" s="24">
        <f ca="1">OFFSET(COM!Y$247,$E121,0)</f>
        <v>1.0612163355780249</v>
      </c>
      <c r="W121" s="24">
        <f ca="1">OFFSET(COM!Z$247,$E121,0)</f>
        <v>1.148417924625986</v>
      </c>
      <c r="X121" s="24">
        <f ca="1">OFFSET(COM!AA$247,$E121,0)</f>
        <v>1.2294441571622712</v>
      </c>
      <c r="Y121" s="246">
        <f ca="1">OFFSET(COM!AB$247,$E121,0)</f>
        <v>1.3040006651622194</v>
      </c>
      <c r="Z121" s="24">
        <f ca="1">OFFSET(COM!AC$247,$E121,0)</f>
        <v>1.4263148929498779</v>
      </c>
      <c r="AA121" s="24">
        <f ca="1">OFFSET(COM!AD$247,$E121,0)</f>
        <v>1.5464848430766198</v>
      </c>
      <c r="AB121" s="24">
        <f ca="1">OFFSET(COM!AE$247,$E121,0)</f>
        <v>1.672059812199493</v>
      </c>
      <c r="AC121" s="24">
        <f ca="1">OFFSET(COM!AF$247,$E121,0)</f>
        <v>1.8018162805859215</v>
      </c>
      <c r="AD121" s="24">
        <f ca="1">OFFSET(COM!AG$247,$E121,0)</f>
        <v>1.9353046360467441</v>
      </c>
      <c r="AE121" s="24">
        <f ca="1">OFFSET(COM!AH$247,$E121,0)</f>
        <v>2.0712475043285314</v>
      </c>
      <c r="AF121" s="24">
        <f ca="1">OFFSET(COM!AI$247,$E121,0)</f>
        <v>2.2092109885051348</v>
      </c>
      <c r="AG121" s="24">
        <f ca="1">OFFSET(COM!AJ$247,$E121,0)</f>
        <v>2.3472544468531593</v>
      </c>
      <c r="AH121" s="24">
        <f ca="1">OFFSET(COM!AK$247,$E121,0)</f>
        <v>2.4874203986039927</v>
      </c>
      <c r="AI121" s="24">
        <f ca="1">OFFSET(COM!AL$247,$E121,0)</f>
        <v>2.6315040545635564</v>
      </c>
      <c r="AJ121" s="24">
        <f ca="1">OFFSET(COM!AM$247,$E121,0)</f>
        <v>3.3719207083273988</v>
      </c>
      <c r="AK121" s="24">
        <f ca="1">OFFSET(COM!AN$247,$E121,0)</f>
        <v>4.188500360479587</v>
      </c>
      <c r="AL121" s="24">
        <f ca="1">OFFSET(COM!AO$247,$E121,0)</f>
        <v>4.188500360479587</v>
      </c>
      <c r="AM121" s="24">
        <f ca="1">OFFSET(COM!AP$247,$E121,0)</f>
        <v>4.188500360479587</v>
      </c>
    </row>
    <row r="122" spans="1:39">
      <c r="A122" s="36" t="s">
        <v>251</v>
      </c>
      <c r="B122" t="s">
        <v>387</v>
      </c>
      <c r="E122" s="152">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234">
        <f ca="1">OFFSET(COM!R$247,$E122,0)</f>
        <v>3.6854762213107977</v>
      </c>
      <c r="P122" s="24">
        <f ca="1">OFFSET(COM!S$247,$E122,0)</f>
        <v>5.2638647419809068</v>
      </c>
      <c r="Q122" s="24">
        <f ca="1">OFFSET(COM!T$247,$E122,0)</f>
        <v>6.7359102997656253</v>
      </c>
      <c r="R122" s="24">
        <f ca="1">OFFSET(COM!U$247,$E122,0)</f>
        <v>8.1108730143018271</v>
      </c>
      <c r="S122" s="24">
        <f ca="1">OFFSET(COM!V$247,$E122,0)</f>
        <v>9.3787647523663935</v>
      </c>
      <c r="T122" s="234">
        <f ca="1">OFFSET(COM!W$247,$E122,0)</f>
        <v>10.583701409785258</v>
      </c>
      <c r="U122" s="24">
        <f ca="1">OFFSET(COM!X$247,$E122,0)</f>
        <v>11.819529096512694</v>
      </c>
      <c r="V122" s="24">
        <f ca="1">OFFSET(COM!Y$247,$E122,0)</f>
        <v>12.947069006902119</v>
      </c>
      <c r="W122" s="24">
        <f ca="1">OFFSET(COM!Z$247,$E122,0)</f>
        <v>14.010947269104445</v>
      </c>
      <c r="X122" s="24">
        <f ca="1">OFFSET(COM!AA$247,$E122,0)</f>
        <v>14.999484845135242</v>
      </c>
      <c r="Y122" s="246">
        <f ca="1">OFFSET(COM!AB$247,$E122,0)</f>
        <v>15.909090381374188</v>
      </c>
      <c r="Z122" s="24">
        <f ca="1">OFFSET(COM!AC$247,$E122,0)</f>
        <v>17.401350436747531</v>
      </c>
      <c r="AA122" s="24">
        <f ca="1">OFFSET(COM!AD$247,$E122,0)</f>
        <v>18.867449840503383</v>
      </c>
      <c r="AB122" s="24">
        <f ca="1">OFFSET(COM!AE$247,$E122,0)</f>
        <v>20.399491645992448</v>
      </c>
      <c r="AC122" s="24">
        <f ca="1">OFFSET(COM!AF$247,$E122,0)</f>
        <v>21.982548647631944</v>
      </c>
      <c r="AD122" s="24">
        <f ca="1">OFFSET(COM!AG$247,$E122,0)</f>
        <v>23.611135479390224</v>
      </c>
      <c r="AE122" s="24">
        <f ca="1">OFFSET(COM!AH$247,$E122,0)</f>
        <v>25.269667898872662</v>
      </c>
      <c r="AF122" s="24">
        <f ca="1">OFFSET(COM!AI$247,$E122,0)</f>
        <v>26.952852269658106</v>
      </c>
      <c r="AG122" s="24">
        <f ca="1">OFFSET(COM!AJ$247,$E122,0)</f>
        <v>28.637012342646244</v>
      </c>
      <c r="AH122" s="24">
        <f ca="1">OFFSET(COM!AK$247,$E122,0)</f>
        <v>30.347067294587504</v>
      </c>
      <c r="AI122" s="24">
        <f ca="1">OFFSET(COM!AL$247,$E122,0)</f>
        <v>32.104919085908762</v>
      </c>
      <c r="AJ122" s="24">
        <f ca="1">OFFSET(COM!AM$247,$E122,0)</f>
        <v>41.138162533785561</v>
      </c>
      <c r="AK122" s="24">
        <f ca="1">OFFSET(COM!AN$247,$E122,0)</f>
        <v>51.100611048383634</v>
      </c>
      <c r="AL122" s="24">
        <f ca="1">OFFSET(COM!AO$247,$E122,0)</f>
        <v>51.100611048383634</v>
      </c>
      <c r="AM122" s="24">
        <f ca="1">OFFSET(COM!AP$247,$E122,0)</f>
        <v>51.100611048383634</v>
      </c>
    </row>
    <row r="123" spans="1:39">
      <c r="A123" s="36" t="s">
        <v>256</v>
      </c>
      <c r="B123" t="s">
        <v>387</v>
      </c>
      <c r="E123" s="152">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234">
        <f ca="1">OFFSET(COM!R$247,$E123,0)</f>
        <v>0.59852622221288887</v>
      </c>
      <c r="P123" s="24">
        <f ca="1">OFFSET(COM!S$247,$E123,0)</f>
        <v>0.85485860959832971</v>
      </c>
      <c r="Q123" s="24">
        <f ca="1">OFFSET(COM!T$247,$E123,0)</f>
        <v>1.0939207588889821</v>
      </c>
      <c r="R123" s="24">
        <f ca="1">OFFSET(COM!U$247,$E123,0)</f>
        <v>1.3172165257850814</v>
      </c>
      <c r="S123" s="24">
        <f ca="1">OFFSET(COM!V$247,$E123,0)</f>
        <v>1.5231238242152458</v>
      </c>
      <c r="T123" s="234">
        <f ca="1">OFFSET(COM!W$247,$E123,0)</f>
        <v>1.7188071341225437</v>
      </c>
      <c r="U123" s="24">
        <f ca="1">OFFSET(COM!X$247,$E123,0)</f>
        <v>1.9195071881253309</v>
      </c>
      <c r="V123" s="24">
        <f ca="1">OFFSET(COM!Y$247,$E123,0)</f>
        <v>2.1026211637514209</v>
      </c>
      <c r="W123" s="24">
        <f ca="1">OFFSET(COM!Z$247,$E123,0)</f>
        <v>2.2753964033496019</v>
      </c>
      <c r="X123" s="24">
        <f ca="1">OFFSET(COM!AA$247,$E123,0)</f>
        <v>2.4359362156745239</v>
      </c>
      <c r="Y123" s="246">
        <f ca="1">OFFSET(COM!AB$247,$E123,0)</f>
        <v>2.5836573601391053</v>
      </c>
      <c r="Z123" s="24">
        <f ca="1">OFFSET(COM!AC$247,$E123,0)</f>
        <v>2.8260023706257384</v>
      </c>
      <c r="AA123" s="24">
        <f ca="1">OFFSET(COM!AD$247,$E123,0)</f>
        <v>3.0640988566224556</v>
      </c>
      <c r="AB123" s="24">
        <f ca="1">OFFSET(COM!AE$247,$E123,0)</f>
        <v>3.3129044760453503</v>
      </c>
      <c r="AC123" s="24">
        <f ca="1">OFFSET(COM!AF$247,$E123,0)</f>
        <v>3.5699950309267376</v>
      </c>
      <c r="AD123" s="24">
        <f ca="1">OFFSET(COM!AG$247,$E123,0)</f>
        <v>3.8344796905540499</v>
      </c>
      <c r="AE123" s="24">
        <f ca="1">OFFSET(COM!AH$247,$E123,0)</f>
        <v>4.1038275533106754</v>
      </c>
      <c r="AF123" s="24">
        <f ca="1">OFFSET(COM!AI$247,$E123,0)</f>
        <v>4.3771789256268638</v>
      </c>
      <c r="AG123" s="24">
        <f ca="1">OFFSET(COM!AJ$247,$E123,0)</f>
        <v>4.6506887532737391</v>
      </c>
      <c r="AH123" s="24">
        <f ca="1">OFFSET(COM!AK$247,$E123,0)</f>
        <v>4.9284039435776448</v>
      </c>
      <c r="AI123" s="24">
        <f ca="1">OFFSET(COM!AL$247,$E123,0)</f>
        <v>5.2138814039356625</v>
      </c>
      <c r="AJ123" s="24">
        <f ca="1">OFFSET(COM!AM$247,$E123,0)</f>
        <v>6.6808921104283172</v>
      </c>
      <c r="AK123" s="24">
        <f ca="1">OFFSET(COM!AN$247,$E123,0)</f>
        <v>8.2988069511085349</v>
      </c>
      <c r="AL123" s="24">
        <f ca="1">OFFSET(COM!AO$247,$E123,0)</f>
        <v>8.2988069511085349</v>
      </c>
      <c r="AM123" s="24">
        <f ca="1">OFFSET(COM!AP$247,$E123,0)</f>
        <v>8.2988069511085349</v>
      </c>
    </row>
    <row r="124" spans="1:39">
      <c r="A124" s="36" t="s">
        <v>252</v>
      </c>
      <c r="B124" t="s">
        <v>387</v>
      </c>
      <c r="E124" s="152">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234">
        <f ca="1">OFFSET(COM!R$247,$E124,0)</f>
        <v>0.89654422327597971</v>
      </c>
      <c r="P124" s="24">
        <f ca="1">OFFSET(COM!S$247,$E124,0)</f>
        <v>1.2805095578260435</v>
      </c>
      <c r="Q124" s="24">
        <f ca="1">OFFSET(COM!T$247,$E124,0)</f>
        <v>1.6386054623931785</v>
      </c>
      <c r="R124" s="24">
        <f ca="1">OFFSET(COM!U$247,$E124,0)</f>
        <v>1.9730845920669164</v>
      </c>
      <c r="S124" s="24">
        <f ca="1">OFFSET(COM!V$247,$E124,0)</f>
        <v>2.2815171921548463</v>
      </c>
      <c r="T124" s="234">
        <f ca="1">OFFSET(COM!W$247,$E124,0)</f>
        <v>2.5746350783525034</v>
      </c>
      <c r="U124" s="24">
        <f ca="1">OFFSET(COM!X$247,$E124,0)</f>
        <v>2.8752676443946563</v>
      </c>
      <c r="V124" s="24">
        <f ca="1">OFFSET(COM!Y$247,$E124,0)</f>
        <v>3.1495576770714151</v>
      </c>
      <c r="W124" s="24">
        <f ca="1">OFFSET(COM!Z$247,$E124,0)</f>
        <v>3.4083611133087937</v>
      </c>
      <c r="X124" s="24">
        <f ca="1">OFFSET(COM!AA$247,$E124,0)</f>
        <v>3.6488368619127112</v>
      </c>
      <c r="Y124" s="246">
        <f ca="1">OFFSET(COM!AB$247,$E124,0)</f>
        <v>3.8701112753139801</v>
      </c>
      <c r="Z124" s="24">
        <f ca="1">OFFSET(COM!AC$247,$E124,0)</f>
        <v>4.233124642361191</v>
      </c>
      <c r="AA124" s="24">
        <f ca="1">OFFSET(COM!AD$247,$E124,0)</f>
        <v>4.5897740608502273</v>
      </c>
      <c r="AB124" s="24">
        <f ca="1">OFFSET(COM!AE$247,$E124,0)</f>
        <v>4.9624649013408488</v>
      </c>
      <c r="AC124" s="24">
        <f ca="1">OFFSET(COM!AF$247,$E124,0)</f>
        <v>5.3475659099241293</v>
      </c>
      <c r="AD124" s="24">
        <f ca="1">OFFSET(COM!AG$247,$E124,0)</f>
        <v>5.7437426937203107</v>
      </c>
      <c r="AE124" s="24">
        <f ca="1">OFFSET(COM!AH$247,$E124,0)</f>
        <v>6.147204165321952</v>
      </c>
      <c r="AF124" s="24">
        <f ca="1">OFFSET(COM!AI$247,$E124,0)</f>
        <v>6.5566625727891399</v>
      </c>
      <c r="AG124" s="24">
        <f ca="1">OFFSET(COM!AJ$247,$E124,0)</f>
        <v>6.9663583336188051</v>
      </c>
      <c r="AH124" s="24">
        <f ca="1">OFFSET(COM!AK$247,$E124,0)</f>
        <v>7.3823533900465828</v>
      </c>
      <c r="AI124" s="24">
        <f ca="1">OFFSET(COM!AL$247,$E124,0)</f>
        <v>7.8099757037577477</v>
      </c>
      <c r="AJ124" s="24">
        <f ca="1">OFFSET(COM!AM$247,$E124,0)</f>
        <v>10.00743995106718</v>
      </c>
      <c r="AK124" s="24">
        <f ca="1">OFFSET(COM!AN$247,$E124,0)</f>
        <v>12.430946474810408</v>
      </c>
      <c r="AL124" s="24">
        <f ca="1">OFFSET(COM!AO$247,$E124,0)</f>
        <v>12.430946474810408</v>
      </c>
      <c r="AM124" s="24">
        <f ca="1">OFFSET(COM!AP$247,$E124,0)</f>
        <v>12.430946474810408</v>
      </c>
    </row>
    <row r="125" spans="1:39">
      <c r="A125" s="36" t="s">
        <v>255</v>
      </c>
      <c r="B125" t="s">
        <v>387</v>
      </c>
      <c r="E125" s="152">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34">
        <f ca="1">OFFSET(COM!R$247,$E125,0)</f>
        <v>0</v>
      </c>
      <c r="P125" s="24">
        <f ca="1">OFFSET(COM!S$247,$E125,0)</f>
        <v>0</v>
      </c>
      <c r="Q125" s="24">
        <f ca="1">OFFSET(COM!T$247,$E125,0)</f>
        <v>0</v>
      </c>
      <c r="R125" s="24">
        <f ca="1">OFFSET(COM!U$247,$E125,0)</f>
        <v>0</v>
      </c>
      <c r="S125" s="24">
        <f ca="1">OFFSET(COM!V$247,$E125,0)</f>
        <v>0</v>
      </c>
      <c r="T125" s="234">
        <f ca="1">OFFSET(COM!W$247,$E125,0)</f>
        <v>0</v>
      </c>
      <c r="U125" s="24">
        <f ca="1">OFFSET(COM!X$247,$E125,0)</f>
        <v>0</v>
      </c>
      <c r="V125" s="24">
        <f ca="1">OFFSET(COM!Y$247,$E125,0)</f>
        <v>0</v>
      </c>
      <c r="W125" s="24">
        <f ca="1">OFFSET(COM!Z$247,$E125,0)</f>
        <v>0</v>
      </c>
      <c r="X125" s="24">
        <f ca="1">OFFSET(COM!AA$247,$E125,0)</f>
        <v>0</v>
      </c>
      <c r="Y125" s="24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387</v>
      </c>
      <c r="E126" s="152">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0.17464786244388691</v>
      </c>
      <c r="N126" s="24">
        <f ca="1">OFFSET(COM!Q$247,$E126,0)</f>
        <v>0.36116844074675197</v>
      </c>
      <c r="O126" s="234">
        <f ca="1">OFFSET(COM!R$247,$E126,0)</f>
        <v>0.46735933450650663</v>
      </c>
      <c r="P126" s="24">
        <f ca="1">OFFSET(COM!S$247,$E126,0)</f>
        <v>0.66751653653852128</v>
      </c>
      <c r="Q126" s="24">
        <f ca="1">OFFSET(COM!T$247,$E126,0)</f>
        <v>0.85418826929083191</v>
      </c>
      <c r="R126" s="24">
        <f ca="1">OFFSET(COM!U$247,$E126,0)</f>
        <v>1.0285488188233827</v>
      </c>
      <c r="S126" s="24">
        <f ca="1">OFFSET(COM!V$247,$E126,0)</f>
        <v>1.1893315788644716</v>
      </c>
      <c r="T126" s="234">
        <f ca="1">OFFSET(COM!W$247,$E126,0)</f>
        <v>1.3421309351803521</v>
      </c>
      <c r="U126" s="24">
        <f ca="1">OFFSET(COM!X$247,$E126,0)</f>
        <v>1.4988476172454521</v>
      </c>
      <c r="V126" s="24">
        <f ca="1">OFFSET(COM!Y$247,$E126,0)</f>
        <v>1.6418322060760655</v>
      </c>
      <c r="W126" s="24">
        <f ca="1">OFFSET(COM!Z$247,$E126,0)</f>
        <v>1.7767437905664885</v>
      </c>
      <c r="X126" s="24">
        <f ca="1">OFFSET(COM!AA$247,$E126,0)</f>
        <v>1.9021013389334969</v>
      </c>
      <c r="Y126" s="246">
        <f ca="1">OFFSET(COM!AB$247,$E126,0)</f>
        <v>2.0174494276341952</v>
      </c>
      <c r="Z126" s="24">
        <f ca="1">OFFSET(COM!AC$247,$E126,0)</f>
        <v>2.2066845832857704</v>
      </c>
      <c r="AA126" s="24">
        <f ca="1">OFFSET(COM!AD$247,$E126,0)</f>
        <v>2.3926022776389906</v>
      </c>
      <c r="AB126" s="24">
        <f ca="1">OFFSET(COM!AE$247,$E126,0)</f>
        <v>2.5868822012236974</v>
      </c>
      <c r="AC126" s="24">
        <f ca="1">OFFSET(COM!AF$247,$E126,0)</f>
        <v>2.7876314185145254</v>
      </c>
      <c r="AD126" s="24">
        <f ca="1">OFFSET(COM!AG$247,$E126,0)</f>
        <v>2.9941543241502857</v>
      </c>
      <c r="AE126" s="24">
        <f ca="1">OFFSET(COM!AH$247,$E126,0)</f>
        <v>3.204474663037479</v>
      </c>
      <c r="AF126" s="24">
        <f ca="1">OFFSET(COM!AI$247,$E126,0)</f>
        <v>3.4179211432598509</v>
      </c>
      <c r="AG126" s="24">
        <f ca="1">OFFSET(COM!AJ$247,$E126,0)</f>
        <v>3.6314913533626361</v>
      </c>
      <c r="AH126" s="24">
        <f ca="1">OFFSET(COM!AK$247,$E126,0)</f>
        <v>3.8483453218369115</v>
      </c>
      <c r="AI126" s="24">
        <f ca="1">OFFSET(COM!AL$247,$E126,0)</f>
        <v>4.0712604606193779</v>
      </c>
      <c r="AJ126" s="24">
        <f ca="1">OFFSET(COM!AM$247,$E126,0)</f>
        <v>5.216776098957542</v>
      </c>
      <c r="AK126" s="24">
        <f ca="1">OFFSET(COM!AN$247,$E126,0)</f>
        <v>6.480125264233636</v>
      </c>
      <c r="AL126" s="24">
        <f ca="1">OFFSET(COM!AO$247,$E126,0)</f>
        <v>6.480125264233636</v>
      </c>
      <c r="AM126" s="24">
        <f ca="1">OFFSET(COM!AP$247,$E126,0)</f>
        <v>6.480125264233636</v>
      </c>
    </row>
    <row r="127" spans="1:39">
      <c r="A127" s="36" t="s">
        <v>292</v>
      </c>
      <c r="B127">
        <v>9</v>
      </c>
      <c r="E127" s="153">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44">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44">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47">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6" t="s">
        <v>299</v>
      </c>
      <c r="B128">
        <v>3.4</v>
      </c>
      <c r="E128" s="153">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44">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44">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47">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6" t="s">
        <v>293</v>
      </c>
      <c r="B129">
        <v>10</v>
      </c>
      <c r="E129" s="153">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44">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44">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47">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6" t="s">
        <v>298</v>
      </c>
      <c r="B130">
        <v>0.63500000000000001</v>
      </c>
      <c r="E130" s="153">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44">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44">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47">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6" t="s">
        <v>297</v>
      </c>
      <c r="B131">
        <v>1.53</v>
      </c>
      <c r="E131" s="153">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44">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44">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47">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6" t="s">
        <v>386</v>
      </c>
      <c r="B132">
        <v>7.8658203618</v>
      </c>
      <c r="E132" s="153">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44">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44">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47">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6" t="s">
        <v>300</v>
      </c>
      <c r="E133" s="153">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44">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44">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47">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6" t="s">
        <v>301</v>
      </c>
      <c r="E134" s="153">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44">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44">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47">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6" t="s">
        <v>648</v>
      </c>
      <c r="E135" s="153">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44">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44">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47">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53"/>
      <c r="F136" s="4"/>
      <c r="G136" s="10"/>
      <c r="H136" s="10"/>
      <c r="I136" s="10"/>
      <c r="J136" s="10"/>
      <c r="K136" s="10"/>
      <c r="L136" s="10"/>
      <c r="M136" s="10"/>
      <c r="N136" s="10"/>
      <c r="O136" s="244"/>
      <c r="P136" s="10"/>
      <c r="Q136" s="10"/>
      <c r="R136" s="10"/>
      <c r="S136" s="10"/>
      <c r="T136" s="244"/>
      <c r="U136" s="10"/>
      <c r="V136" s="10"/>
      <c r="W136" s="10"/>
      <c r="X136" s="10"/>
      <c r="Y136" s="247"/>
      <c r="Z136" s="10"/>
      <c r="AA136" s="10"/>
      <c r="AB136" s="10"/>
      <c r="AC136" s="10"/>
      <c r="AD136" s="10"/>
      <c r="AE136" s="10"/>
      <c r="AF136" s="10"/>
      <c r="AG136" s="10"/>
      <c r="AH136" s="10"/>
      <c r="AI136" s="10"/>
      <c r="AJ136" s="10"/>
      <c r="AK136" s="10"/>
      <c r="AL136" s="10"/>
      <c r="AM136" s="10"/>
    </row>
    <row r="137" spans="1:39">
      <c r="B137" s="4"/>
      <c r="C137" s="4"/>
      <c r="E137" s="153"/>
      <c r="F137" s="4"/>
      <c r="G137" s="10"/>
      <c r="H137" s="10"/>
      <c r="I137" s="10"/>
      <c r="J137" s="10"/>
      <c r="K137" s="10"/>
      <c r="L137" s="10"/>
      <c r="M137" s="10"/>
      <c r="N137" s="10"/>
      <c r="O137" s="244"/>
      <c r="P137" s="10"/>
      <c r="Q137" s="10"/>
      <c r="R137" s="10"/>
      <c r="S137" s="10"/>
      <c r="T137" s="244"/>
      <c r="U137" s="10"/>
      <c r="V137" s="10"/>
      <c r="W137" s="10"/>
      <c r="X137" s="10"/>
      <c r="Y137" s="247"/>
      <c r="Z137" s="10"/>
      <c r="AA137" s="10"/>
      <c r="AB137" s="10"/>
      <c r="AC137" s="10"/>
      <c r="AD137" s="10"/>
      <c r="AE137" s="10"/>
      <c r="AF137" s="10"/>
      <c r="AG137" s="10"/>
      <c r="AH137" s="10"/>
      <c r="AI137" s="10"/>
      <c r="AJ137" s="10"/>
      <c r="AK137" s="10"/>
      <c r="AL137" s="10"/>
      <c r="AM137" s="10"/>
    </row>
    <row r="138" spans="1:39">
      <c r="B138" s="4"/>
      <c r="C138" s="4"/>
      <c r="E138" s="153"/>
      <c r="F138" s="4"/>
      <c r="G138" s="10"/>
      <c r="H138" s="10"/>
      <c r="I138" s="10"/>
      <c r="J138" s="10"/>
      <c r="K138" s="10"/>
      <c r="L138" s="10"/>
      <c r="M138" s="10"/>
      <c r="N138" s="10"/>
      <c r="O138" s="244"/>
      <c r="P138" s="10"/>
      <c r="Q138" s="10"/>
      <c r="R138" s="10"/>
      <c r="S138" s="10"/>
      <c r="T138" s="244"/>
      <c r="U138" s="10"/>
      <c r="V138" s="10"/>
      <c r="W138" s="10"/>
      <c r="X138" s="10"/>
      <c r="Y138" s="247"/>
      <c r="Z138" s="10"/>
      <c r="AA138" s="10"/>
      <c r="AB138" s="10"/>
      <c r="AC138" s="10"/>
      <c r="AD138" s="10"/>
      <c r="AE138" s="10"/>
      <c r="AF138" s="10"/>
      <c r="AG138" s="10"/>
      <c r="AH138" s="10"/>
      <c r="AI138" s="10"/>
      <c r="AJ138" s="10"/>
      <c r="AK138" s="10"/>
      <c r="AL138" s="10"/>
      <c r="AM138" s="10"/>
    </row>
    <row r="139" spans="1:39">
      <c r="B139" s="4"/>
      <c r="C139" s="4"/>
      <c r="E139" s="153"/>
      <c r="F139" s="4"/>
      <c r="G139" s="10"/>
      <c r="H139" s="10"/>
      <c r="I139" s="10"/>
      <c r="J139" s="10"/>
      <c r="K139" s="10"/>
      <c r="L139" s="10"/>
      <c r="M139" s="10"/>
      <c r="N139" s="10"/>
      <c r="O139" s="244"/>
      <c r="P139" s="10"/>
      <c r="Q139" s="10"/>
      <c r="R139" s="10"/>
      <c r="S139" s="10"/>
      <c r="T139" s="244"/>
      <c r="U139" s="10"/>
      <c r="V139" s="10"/>
      <c r="W139" s="10"/>
      <c r="X139" s="10"/>
      <c r="Y139" s="247"/>
      <c r="Z139" s="10"/>
      <c r="AA139" s="10"/>
      <c r="AB139" s="10"/>
      <c r="AC139" s="10"/>
      <c r="AD139" s="10"/>
      <c r="AE139" s="10"/>
      <c r="AF139" s="10"/>
      <c r="AG139" s="10"/>
      <c r="AH139" s="10"/>
      <c r="AI139" s="10"/>
      <c r="AJ139" s="10"/>
      <c r="AK139" s="10"/>
      <c r="AL139" s="10"/>
      <c r="AM139" s="10"/>
    </row>
    <row r="140" spans="1:39">
      <c r="B140" s="4"/>
      <c r="C140" s="4"/>
      <c r="E140" s="153"/>
      <c r="F140" s="4"/>
      <c r="G140" s="10"/>
      <c r="H140" s="10"/>
      <c r="I140" s="10"/>
      <c r="J140" s="10"/>
      <c r="K140" s="10"/>
      <c r="L140" s="10"/>
      <c r="M140" s="10"/>
      <c r="N140" s="10"/>
      <c r="O140" s="244"/>
      <c r="P140" s="10"/>
      <c r="Q140" s="10"/>
      <c r="R140" s="10"/>
      <c r="S140" s="10"/>
      <c r="T140" s="244"/>
      <c r="U140" s="10"/>
      <c r="V140" s="10"/>
      <c r="W140" s="10"/>
      <c r="X140" s="10"/>
      <c r="Y140" s="247"/>
      <c r="Z140" s="10"/>
      <c r="AA140" s="10"/>
      <c r="AB140" s="10"/>
      <c r="AC140" s="10"/>
      <c r="AD140" s="10"/>
      <c r="AE140" s="10"/>
      <c r="AF140" s="10"/>
      <c r="AG140" s="10"/>
      <c r="AH140" s="10"/>
      <c r="AI140" s="10"/>
      <c r="AJ140" s="10"/>
      <c r="AK140" s="10"/>
      <c r="AL140" s="10"/>
      <c r="AM140" s="10"/>
    </row>
    <row r="141" spans="1:39">
      <c r="B141" s="4"/>
      <c r="C141" s="4"/>
      <c r="E141" s="153"/>
      <c r="F141" s="4"/>
      <c r="G141" s="10"/>
      <c r="H141" s="10"/>
      <c r="I141" s="10"/>
      <c r="J141" s="10"/>
      <c r="K141" s="10"/>
      <c r="L141" s="10"/>
      <c r="M141" s="10"/>
      <c r="N141" s="10"/>
      <c r="O141" s="244"/>
      <c r="P141" s="10"/>
      <c r="Q141" s="10"/>
      <c r="R141" s="10"/>
      <c r="S141" s="10"/>
      <c r="T141" s="244"/>
      <c r="U141" s="10"/>
      <c r="V141" s="10"/>
      <c r="W141" s="10"/>
      <c r="X141" s="10"/>
      <c r="Y141" s="247"/>
      <c r="Z141" s="10"/>
      <c r="AA141" s="10"/>
      <c r="AB141" s="10"/>
      <c r="AC141" s="10"/>
      <c r="AD141" s="10"/>
      <c r="AE141" s="10"/>
      <c r="AF141" s="10"/>
      <c r="AG141" s="10"/>
      <c r="AH141" s="10"/>
      <c r="AI141" s="10"/>
      <c r="AJ141" s="10"/>
      <c r="AK141" s="10"/>
      <c r="AL141" s="10"/>
      <c r="AM141" s="10"/>
    </row>
    <row r="142" spans="1:39">
      <c r="B142" s="4"/>
      <c r="C142" s="4"/>
      <c r="E142" s="153"/>
      <c r="F142" s="4"/>
      <c r="G142" s="10"/>
      <c r="H142" s="10"/>
      <c r="I142" s="10"/>
      <c r="J142" s="10"/>
      <c r="K142" s="10"/>
      <c r="L142" s="10"/>
      <c r="M142" s="10"/>
      <c r="N142" s="10"/>
      <c r="O142" s="244"/>
      <c r="P142" s="10"/>
      <c r="Q142" s="10"/>
      <c r="R142" s="10"/>
      <c r="S142" s="10"/>
      <c r="T142" s="244"/>
      <c r="U142" s="10"/>
      <c r="V142" s="10"/>
      <c r="W142" s="10"/>
      <c r="X142" s="10"/>
      <c r="Y142" s="247"/>
      <c r="Z142" s="10"/>
      <c r="AA142" s="10"/>
      <c r="AB142" s="10"/>
      <c r="AC142" s="10"/>
      <c r="AD142" s="10"/>
      <c r="AE142" s="10"/>
      <c r="AF142" s="10"/>
      <c r="AG142" s="10"/>
      <c r="AH142" s="10"/>
      <c r="AI142" s="10"/>
      <c r="AJ142" s="10"/>
      <c r="AK142" s="10"/>
      <c r="AL142" s="10"/>
      <c r="AM142" s="10"/>
    </row>
    <row r="143" spans="1:39">
      <c r="B143" s="4"/>
      <c r="C143" s="4"/>
      <c r="E143" s="153"/>
      <c r="F143" s="4"/>
      <c r="G143" s="10"/>
      <c r="H143" s="10"/>
      <c r="I143" s="10"/>
      <c r="J143" s="10"/>
      <c r="K143" s="10"/>
      <c r="L143" s="10"/>
      <c r="M143" s="10"/>
      <c r="N143" s="10"/>
      <c r="O143" s="244"/>
      <c r="P143" s="10"/>
      <c r="Q143" s="10"/>
      <c r="R143" s="10"/>
      <c r="S143" s="10"/>
      <c r="T143" s="244"/>
      <c r="U143" s="10"/>
      <c r="V143" s="10"/>
      <c r="W143" s="10"/>
      <c r="X143" s="10"/>
      <c r="Y143" s="247"/>
      <c r="Z143" s="10"/>
      <c r="AA143" s="10"/>
      <c r="AB143" s="10"/>
      <c r="AC143" s="10"/>
      <c r="AD143" s="10"/>
      <c r="AE143" s="10"/>
      <c r="AF143" s="10"/>
      <c r="AG143" s="10"/>
      <c r="AH143" s="10"/>
      <c r="AI143" s="10"/>
      <c r="AJ143" s="10"/>
      <c r="AK143" s="10"/>
      <c r="AL143" s="10"/>
      <c r="AM143" s="10"/>
    </row>
    <row r="144" spans="1:39">
      <c r="B144" s="4"/>
      <c r="C144" s="4"/>
      <c r="E144" s="153"/>
      <c r="F144" s="4"/>
      <c r="G144" s="10"/>
      <c r="H144" s="10"/>
      <c r="I144" s="10"/>
      <c r="J144" s="10"/>
      <c r="K144" s="10"/>
      <c r="L144" s="10"/>
      <c r="M144" s="10"/>
      <c r="N144" s="10"/>
      <c r="O144" s="244"/>
      <c r="P144" s="10"/>
      <c r="Q144" s="10"/>
      <c r="R144" s="10"/>
      <c r="S144" s="10"/>
      <c r="T144" s="244"/>
      <c r="U144" s="10"/>
      <c r="V144" s="10"/>
      <c r="W144" s="10"/>
      <c r="X144" s="10"/>
      <c r="Y144" s="247"/>
      <c r="Z144" s="10"/>
      <c r="AA144" s="10"/>
      <c r="AB144" s="10"/>
      <c r="AC144" s="10"/>
      <c r="AD144" s="10"/>
      <c r="AE144" s="10"/>
      <c r="AF144" s="10"/>
      <c r="AG144" s="10"/>
      <c r="AH144" s="10"/>
      <c r="AI144" s="10"/>
      <c r="AJ144" s="10"/>
      <c r="AK144" s="10"/>
      <c r="AL144" s="10"/>
      <c r="AM144" s="10"/>
    </row>
    <row r="145" spans="2:39">
      <c r="B145" s="4"/>
      <c r="C145" s="4"/>
      <c r="E145" s="153"/>
      <c r="F145" s="4"/>
      <c r="G145" s="10"/>
      <c r="H145" s="10"/>
      <c r="I145" s="10"/>
      <c r="J145" s="10"/>
      <c r="K145" s="10"/>
      <c r="L145" s="10"/>
      <c r="M145" s="10"/>
      <c r="N145" s="10"/>
      <c r="O145" s="244"/>
      <c r="P145" s="10"/>
      <c r="Q145" s="10"/>
      <c r="R145" s="10"/>
      <c r="S145" s="10"/>
      <c r="T145" s="244"/>
      <c r="U145" s="10"/>
      <c r="V145" s="10"/>
      <c r="W145" s="10"/>
      <c r="X145" s="10"/>
      <c r="Y145" s="247"/>
      <c r="Z145" s="10"/>
      <c r="AA145" s="10"/>
      <c r="AB145" s="10"/>
      <c r="AC145" s="10"/>
      <c r="AD145" s="10"/>
      <c r="AE145" s="10"/>
      <c r="AF145" s="10"/>
      <c r="AG145" s="10"/>
      <c r="AH145" s="10"/>
      <c r="AI145" s="10"/>
      <c r="AJ145" s="10"/>
      <c r="AK145" s="10"/>
      <c r="AL145" s="10"/>
      <c r="AM145" s="10"/>
    </row>
    <row r="146" spans="2:39">
      <c r="B146" s="4"/>
      <c r="C146" s="4"/>
      <c r="E146" s="153"/>
      <c r="F146" s="4"/>
      <c r="G146" s="10"/>
      <c r="H146" s="10"/>
      <c r="I146" s="10"/>
      <c r="J146" s="10"/>
      <c r="K146" s="10"/>
      <c r="L146" s="10"/>
      <c r="M146" s="10"/>
      <c r="N146" s="10"/>
      <c r="O146" s="244"/>
      <c r="P146" s="10"/>
      <c r="Q146" s="10"/>
      <c r="R146" s="10"/>
      <c r="S146" s="10"/>
      <c r="T146" s="244"/>
      <c r="U146" s="10"/>
      <c r="V146" s="10"/>
      <c r="W146" s="10"/>
      <c r="X146" s="10"/>
      <c r="Y146" s="24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[4]AGR!B36</f>
        <v>AH</v>
      </c>
      <c r="D9" s="18" t="str">
        <f>[4]AGR!A36</f>
        <v>Agriculture - Heating</v>
      </c>
      <c r="E9" s="19" t="s">
        <v>38</v>
      </c>
      <c r="F9" s="19" t="s">
        <v>39</v>
      </c>
    </row>
    <row r="10" spans="1:8">
      <c r="B10" s="19" t="s">
        <v>37</v>
      </c>
      <c r="C10" s="18" t="str">
        <f>[4]AGR!B37</f>
        <v>AP</v>
      </c>
      <c r="D10" s="18" t="str">
        <f>[4]AGR!A37</f>
        <v>Agriculture - Processing</v>
      </c>
      <c r="E10" s="19" t="s">
        <v>38</v>
      </c>
      <c r="F10" s="19" t="s">
        <v>39</v>
      </c>
    </row>
    <row r="11" spans="1:8">
      <c r="B11" s="19" t="s">
        <v>37</v>
      </c>
      <c r="C11" s="18" t="str">
        <f>[4]AGR!B38</f>
        <v>AT</v>
      </c>
      <c r="D11" s="18" t="str">
        <f>[4]AGR!A38</f>
        <v>Agriculture - Traction</v>
      </c>
      <c r="E11" s="19" t="s">
        <v>38</v>
      </c>
      <c r="F11" s="19" t="s">
        <v>98</v>
      </c>
    </row>
    <row r="12" spans="1:8">
      <c r="B12" s="19" t="s">
        <v>37</v>
      </c>
      <c r="C12" s="18" t="str">
        <f>[4]AGR!B39</f>
        <v>AI</v>
      </c>
      <c r="D12" s="18" t="str">
        <f>[4]AGR!A39</f>
        <v>Agriculture - Irrigation</v>
      </c>
      <c r="E12" s="19" t="s">
        <v>38</v>
      </c>
      <c r="F12" s="19" t="s">
        <v>39</v>
      </c>
    </row>
    <row r="13" spans="1:8">
      <c r="B13" s="19" t="s">
        <v>37</v>
      </c>
      <c r="C13" s="18" t="str">
        <f>[4]AGR!B40</f>
        <v>AO</v>
      </c>
      <c r="D13" s="18" t="str">
        <f>[4]AGR!A40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AA7" workbookViewId="0">
      <selection activeCell="AM22" sqref="AM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04" t="s">
        <v>197</v>
      </c>
      <c r="C2" s="304"/>
    </row>
    <row r="3" spans="1:48">
      <c r="A3" s="4" t="s">
        <v>16</v>
      </c>
    </row>
    <row r="4" spans="1:48" ht="15.75" thickBot="1">
      <c r="A4" s="4" t="s">
        <v>16</v>
      </c>
      <c r="B4" s="304" t="s">
        <v>11</v>
      </c>
      <c r="C4" s="304"/>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50">
        <f>INDEX(Drivers!$C$7:$AG$22,$D$6,MATCH(K$4,Drivers!$C$5:$AG$5,0))</f>
        <v>69.819999999999993</v>
      </c>
      <c r="L6" s="150">
        <f>INDEX(Drivers!$C$7:$AG$22,$D$6,MATCH(L$4,Drivers!$C$5:$AG$5,0))</f>
        <v>72.77</v>
      </c>
      <c r="M6" s="150">
        <f>INDEX(Drivers!$C$7:$AG$22,$D$6,MATCH(M$4,Drivers!$C$5:$AG$5,0))</f>
        <v>75.510000000000005</v>
      </c>
      <c r="N6" s="150">
        <f>INDEX(Drivers!$C$7:$AG$22,$D$6,MATCH(N$4,Drivers!$C$5:$AG$5,0))</f>
        <v>74.36</v>
      </c>
      <c r="O6" s="150">
        <f>INDEX(Drivers!$C$7:$AG$22,$D$6,MATCH(O$4,Drivers!$C$5:$AG$5,0))</f>
        <v>73.55</v>
      </c>
      <c r="P6" s="150">
        <f>INDEX(Drivers!$C$7:$AG$22,$D$6,MATCH(P$4,Drivers!$C$5:$AG$5,0))</f>
        <v>76</v>
      </c>
      <c r="Q6" s="150">
        <f>INDEX(Drivers!$C$7:$AG$22,$D$6,MATCH(Q$4,Drivers!$C$5:$AG$5,0))</f>
        <v>74.78</v>
      </c>
      <c r="R6" s="150">
        <f>INDEX(Drivers!$C$7:$AG$22,$D$6,MATCH(R$4,Drivers!$C$5:$AG$5,0))</f>
        <v>73.53</v>
      </c>
      <c r="S6" s="150">
        <f>INDEX(Drivers!$C$7:$AG$22,$D$6,MATCH(S$4,Drivers!$C$5:$AG$5,0))</f>
        <v>70.959999999999994</v>
      </c>
      <c r="T6" s="150">
        <f>INDEX(Drivers!$C$7:$AG$22,$D$6,MATCH(T$4,Drivers!$C$5:$AG$5,0))</f>
        <v>72.959999999999994</v>
      </c>
      <c r="U6" s="150">
        <f>INDEX(Drivers!$C$7:$AG$22,$D$6,MATCH(U$4,Drivers!$C$5:$AG$5,0))</f>
        <v>75</v>
      </c>
      <c r="V6" s="150">
        <f>INDEX(Drivers!$C$7:$AG$22,$D$6,MATCH(V$4,Drivers!$C$5:$AG$5,0))</f>
        <v>76.52</v>
      </c>
      <c r="W6" s="150">
        <f>INDEX(Drivers!$C$7:$AG$22,$D$6,MATCH(W$4,Drivers!$C$5:$AG$5,0))</f>
        <v>77.900000000000006</v>
      </c>
      <c r="X6" s="150">
        <f>INDEX(Drivers!$C$7:$AG$22,$D$6,MATCH(X$4,Drivers!$C$5:$AG$5,0))</f>
        <v>79.13</v>
      </c>
      <c r="Y6" s="150">
        <f>INDEX(Drivers!$C$7:$AG$22,$D$6,MATCH(Y$4,Drivers!$C$5:$AG$5,0))</f>
        <v>81.150000000000006</v>
      </c>
      <c r="Z6" s="150">
        <f>INDEX(Drivers!$C$7:$AG$22,$D$6,MATCH(Z$4,Drivers!$C$5:$AG$5,0))</f>
        <v>83.06</v>
      </c>
      <c r="AA6" s="150">
        <f>INDEX(Drivers!$C$7:$AG$22,$D$6,MATCH(AA$4,Drivers!$C$5:$AG$5,0))</f>
        <v>85</v>
      </c>
      <c r="AB6" s="150">
        <f>INDEX(Drivers!$C$7:$AG$22,$D$6,MATCH(AB$4,Drivers!$C$5:$AG$5,0))</f>
        <v>86.79</v>
      </c>
      <c r="AC6" s="150">
        <f>INDEX(Drivers!$C$7:$AG$22,$D$6,MATCH(AC$4,Drivers!$C$5:$AG$5,0))</f>
        <v>88.61</v>
      </c>
      <c r="AD6" s="150">
        <f>INDEX(Drivers!$C$7:$AG$22,$D$6,MATCH(AD$4,Drivers!$C$5:$AG$5,0))</f>
        <v>90.52</v>
      </c>
      <c r="AE6" s="150">
        <f>INDEX(Drivers!$C$7:$AG$22,$D$6,MATCH(AE$4,Drivers!$C$5:$AG$5,0))</f>
        <v>92.22</v>
      </c>
      <c r="AF6" s="150">
        <f>INDEX(Drivers!$C$7:$AG$22,$D$6,MATCH(AF$4,Drivers!$C$5:$AG$5,0))</f>
        <v>94</v>
      </c>
      <c r="AG6" s="150">
        <f>INDEX(Drivers!$C$7:$AG$22,$D$6,MATCH(AG$4,Drivers!$C$5:$AG$5,0))</f>
        <v>95.83</v>
      </c>
      <c r="AH6" s="150">
        <f>INDEX(Drivers!$C$7:$AG$22,$D$6,MATCH(AH$4,Drivers!$C$5:$AG$5,0))</f>
        <v>97.69</v>
      </c>
      <c r="AI6" s="150">
        <f>INDEX(Drivers!$C$7:$AG$22,$D$6,MATCH(AI$4,Drivers!$C$5:$AG$5,0))</f>
        <v>99.72</v>
      </c>
      <c r="AJ6" s="150">
        <f>INDEX(Drivers!$C$7:$AG$22,$D$6,MATCH(AJ$4,Drivers!$C$5:$AG$5,0))</f>
        <v>101.85</v>
      </c>
      <c r="AK6" s="150">
        <f>INDEX(Drivers!$C$7:$AG$22,$D$6,MATCH(AK$4,Drivers!$C$5:$AG$5,0))</f>
        <v>104.02</v>
      </c>
      <c r="AL6" s="150">
        <f>INDEX(Drivers!$C$7:$AG$22,$D$6,MATCH(AL$4,Drivers!$C$5:$AG$5,0))</f>
        <v>106.26</v>
      </c>
      <c r="AM6" s="150">
        <f>INDEX(Drivers!$C$7:$AG$22,$D$6,MATCH(AM$4,Drivers!$C$5:$AG$5,0))</f>
        <v>108.6</v>
      </c>
      <c r="AN6" s="150">
        <f>INDEX(Drivers!$C$7:$AG$22,$D$6,MATCH(AN$4,Drivers!$C$5:$AG$5,0))</f>
        <v>120.7</v>
      </c>
      <c r="AO6" s="150">
        <f>INDEX(Drivers!$C$7:$AG$22,$D$6,MATCH(AO$4,Drivers!$C$5:$AG$5,0))</f>
        <v>136.25</v>
      </c>
      <c r="AP6" s="150">
        <f>AO6</f>
        <v>136.25</v>
      </c>
      <c r="AQ6" s="150"/>
      <c r="AR6" s="150"/>
      <c r="AS6" s="24"/>
      <c r="AT6" s="24"/>
      <c r="AU6" s="24"/>
      <c r="AV6" s="24"/>
    </row>
    <row r="7" spans="1:48">
      <c r="A7" s="4" t="s">
        <v>16</v>
      </c>
      <c r="B7" s="25"/>
    </row>
    <row r="8" spans="1:48" ht="15.75" thickBot="1">
      <c r="A8" s="4" t="s">
        <v>16</v>
      </c>
      <c r="B8" s="304" t="s">
        <v>285</v>
      </c>
      <c r="C8" s="304"/>
    </row>
    <row r="9" spans="1:48">
      <c r="A9" s="4" t="s">
        <v>16</v>
      </c>
      <c r="B9" s="4" t="str">
        <f>[4]AGR!$B28</f>
        <v>AH</v>
      </c>
      <c r="C9" s="4" t="str">
        <f>[4]AGR!$A36</f>
        <v>Agriculture - Heating</v>
      </c>
    </row>
    <row r="10" spans="1:48">
      <c r="A10" s="4" t="s">
        <v>16</v>
      </c>
      <c r="B10" s="4" t="str">
        <f>[4]AGR!$B29</f>
        <v>AP</v>
      </c>
      <c r="C10" s="4" t="str">
        <f>[4]AGR!$A37</f>
        <v>Agriculture - Processing</v>
      </c>
    </row>
    <row r="11" spans="1:48">
      <c r="A11" s="4" t="s">
        <v>16</v>
      </c>
      <c r="B11" s="4" t="str">
        <f>[4]AGR!$B30</f>
        <v>AT</v>
      </c>
      <c r="C11" s="4" t="str">
        <f>[4]AGR!$A38</f>
        <v>Agriculture - Traction</v>
      </c>
    </row>
    <row r="12" spans="1:48">
      <c r="A12" s="4" t="s">
        <v>16</v>
      </c>
      <c r="B12" s="4" t="str">
        <f>[4]AGR!$B31</f>
        <v>AI</v>
      </c>
      <c r="C12" s="4" t="str">
        <f>[4]AGR!$A39</f>
        <v>Agriculture - Irrigation</v>
      </c>
    </row>
    <row r="13" spans="1:48">
      <c r="A13" s="4" t="s">
        <v>16</v>
      </c>
      <c r="B13" s="4" t="str">
        <f>[4]AGR!$B32</f>
        <v>AO</v>
      </c>
      <c r="C13" s="4" t="str">
        <f>[4]AGR!$A40</f>
        <v>Agriculture - Other</v>
      </c>
    </row>
    <row r="14" spans="1:48">
      <c r="A14" s="4" t="s">
        <v>16</v>
      </c>
      <c r="B14" s="25"/>
    </row>
    <row r="15" spans="1:48">
      <c r="A15" s="4" t="s">
        <v>16</v>
      </c>
      <c r="B15" s="25"/>
    </row>
    <row r="16" spans="1:48" ht="15.75" thickBot="1">
      <c r="A16" s="4" t="s">
        <v>16</v>
      </c>
      <c r="B16" s="304" t="s">
        <v>12</v>
      </c>
      <c r="C16" s="304"/>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IF('[4]TS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'[4]TS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IF('[4]TS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'[4]TS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IF('[4]TS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'[4]TS BYDem'!$J12</f>
        <v>9.5227140641133712</v>
      </c>
      <c r="K24" s="6">
        <f>L$6/K$6*J24</f>
        <v>9.9250630542184179</v>
      </c>
      <c r="L24" s="6">
        <f t="shared" ref="L24:AP24" si="4">L$6/K$6*K24*L$17</f>
        <v>10.344411894234808</v>
      </c>
      <c r="M24" s="6">
        <f t="shared" si="4"/>
        <v>10.733908782927998</v>
      </c>
      <c r="N24" s="6">
        <f t="shared" si="4"/>
        <v>10.570433811396184</v>
      </c>
      <c r="O24" s="6">
        <f t="shared" si="4"/>
        <v>10.455290570578123</v>
      </c>
      <c r="P24" s="6">
        <f t="shared" si="4"/>
        <v>10.803563336015465</v>
      </c>
      <c r="Q24" s="6">
        <f t="shared" si="4"/>
        <v>10.630137714042586</v>
      </c>
      <c r="R24" s="6">
        <f t="shared" si="4"/>
        <v>10.452447527594963</v>
      </c>
      <c r="S24" s="6">
        <f t="shared" si="4"/>
        <v>10.087116504258649</v>
      </c>
      <c r="T24" s="6">
        <f t="shared" si="4"/>
        <v>10.371420802574844</v>
      </c>
      <c r="U24" s="6">
        <f t="shared" si="4"/>
        <v>10.661411186857366</v>
      </c>
      <c r="V24" s="6">
        <f t="shared" si="4"/>
        <v>10.877482453577676</v>
      </c>
      <c r="W24" s="6">
        <f t="shared" si="4"/>
        <v>11.073652419415854</v>
      </c>
      <c r="X24" s="6">
        <f t="shared" si="4"/>
        <v>11.248499562880314</v>
      </c>
      <c r="Y24" s="6">
        <f t="shared" si="4"/>
        <v>11.535646904179673</v>
      </c>
      <c r="Z24" s="6">
        <f t="shared" si="4"/>
        <v>11.80715750907164</v>
      </c>
      <c r="AA24" s="6">
        <f t="shared" si="4"/>
        <v>12.08293267843835</v>
      </c>
      <c r="AB24" s="6">
        <f t="shared" si="4"/>
        <v>12.337385025431347</v>
      </c>
      <c r="AC24" s="6">
        <f t="shared" si="4"/>
        <v>12.596101936899084</v>
      </c>
      <c r="AD24" s="6">
        <f t="shared" si="4"/>
        <v>12.867612541791052</v>
      </c>
      <c r="AE24" s="6">
        <f t="shared" si="4"/>
        <v>13.10927119535982</v>
      </c>
      <c r="AF24" s="6">
        <f t="shared" si="4"/>
        <v>13.362302020861234</v>
      </c>
      <c r="AG24" s="6">
        <f t="shared" si="4"/>
        <v>13.622440453820552</v>
      </c>
      <c r="AH24" s="6">
        <f t="shared" si="4"/>
        <v>13.886843451254615</v>
      </c>
      <c r="AI24" s="6">
        <f t="shared" si="4"/>
        <v>14.175412314045555</v>
      </c>
      <c r="AJ24" s="6">
        <f t="shared" si="4"/>
        <v>14.478196391752304</v>
      </c>
      <c r="AK24" s="6">
        <f t="shared" si="4"/>
        <v>14.786666555425375</v>
      </c>
      <c r="AL24" s="6">
        <f t="shared" si="4"/>
        <v>15.105087369539518</v>
      </c>
      <c r="AM24" s="6">
        <f t="shared" si="4"/>
        <v>15.437723398569466</v>
      </c>
      <c r="AN24" s="6">
        <f t="shared" si="4"/>
        <v>17.157764403382455</v>
      </c>
      <c r="AO24" s="6">
        <f t="shared" si="4"/>
        <v>19.368230322790879</v>
      </c>
      <c r="AP24" s="6">
        <f t="shared" si="4"/>
        <v>19.368230322790879</v>
      </c>
      <c r="AQ24" s="6"/>
      <c r="AR24" s="6"/>
      <c r="AS24" s="6"/>
      <c r="AT24" s="6"/>
      <c r="AU24" s="6"/>
      <c r="AV24" s="6"/>
    </row>
    <row r="25" spans="1:48">
      <c r="A25" s="4" t="str">
        <f>IF('[4]TS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'[4]TS BYDem'!$J13</f>
        <v>4.8851919315217742</v>
      </c>
      <c r="K25" s="6">
        <f>L$6/K$6*J25</f>
        <v>5.0915986373079276</v>
      </c>
      <c r="L25" s="6">
        <f t="shared" ref="L25:AP25" si="5">L$6/K$6*K25*L$17</f>
        <v>5.3067263368217974</v>
      </c>
      <c r="M25" s="6">
        <f t="shared" si="5"/>
        <v>5.5065398611160363</v>
      </c>
      <c r="N25" s="6">
        <f t="shared" si="5"/>
        <v>5.4226765206275784</v>
      </c>
      <c r="O25" s="6">
        <f t="shared" si="5"/>
        <v>5.3636075590661427</v>
      </c>
      <c r="P25" s="6">
        <f t="shared" si="5"/>
        <v>5.5422729366285095</v>
      </c>
      <c r="Q25" s="6">
        <f t="shared" si="5"/>
        <v>5.4533048710668419</v>
      </c>
      <c r="R25" s="6">
        <f t="shared" si="5"/>
        <v>5.3621490661880831</v>
      </c>
      <c r="S25" s="6">
        <f t="shared" si="5"/>
        <v>5.1747327313573548</v>
      </c>
      <c r="T25" s="6">
        <f t="shared" si="5"/>
        <v>5.3205820191633677</v>
      </c>
      <c r="U25" s="6">
        <f t="shared" si="5"/>
        <v>5.4693482927255017</v>
      </c>
      <c r="V25" s="6">
        <f t="shared" si="5"/>
        <v>5.5801937514580722</v>
      </c>
      <c r="W25" s="6">
        <f t="shared" si="5"/>
        <v>5.6808297600442224</v>
      </c>
      <c r="X25" s="6">
        <f t="shared" si="5"/>
        <v>5.7705270720449198</v>
      </c>
      <c r="Y25" s="6">
        <f t="shared" si="5"/>
        <v>5.9178348527289941</v>
      </c>
      <c r="Z25" s="6">
        <f t="shared" si="5"/>
        <v>6.0571209225837368</v>
      </c>
      <c r="AA25" s="6">
        <f t="shared" si="5"/>
        <v>6.198594731755569</v>
      </c>
      <c r="AB25" s="6">
        <f t="shared" si="5"/>
        <v>6.329129844341951</v>
      </c>
      <c r="AC25" s="6">
        <f t="shared" si="5"/>
        <v>6.4618526962454217</v>
      </c>
      <c r="AD25" s="6">
        <f t="shared" si="5"/>
        <v>6.6011387661001644</v>
      </c>
      <c r="AE25" s="6">
        <f t="shared" si="5"/>
        <v>6.7251106607352762</v>
      </c>
      <c r="AF25" s="6">
        <f t="shared" si="5"/>
        <v>6.8549165268826275</v>
      </c>
      <c r="AG25" s="6">
        <f t="shared" si="5"/>
        <v>6.9883686252251289</v>
      </c>
      <c r="AH25" s="6">
        <f t="shared" si="5"/>
        <v>7.1240084628847216</v>
      </c>
      <c r="AI25" s="6">
        <f t="shared" si="5"/>
        <v>7.2720454900078257</v>
      </c>
      <c r="AJ25" s="6">
        <f t="shared" si="5"/>
        <v>7.42737498152123</v>
      </c>
      <c r="AK25" s="6">
        <f t="shared" si="5"/>
        <v>7.5856214587907536</v>
      </c>
      <c r="AL25" s="6">
        <f t="shared" si="5"/>
        <v>7.7489726611334895</v>
      </c>
      <c r="AM25" s="6">
        <f t="shared" si="5"/>
        <v>7.9196163278665237</v>
      </c>
      <c r="AN25" s="6">
        <f t="shared" si="5"/>
        <v>8.8020045190929039</v>
      </c>
      <c r="AO25" s="6">
        <f t="shared" si="5"/>
        <v>9.935982731784657</v>
      </c>
      <c r="AP25" s="6">
        <f t="shared" si="5"/>
        <v>9.935982731784657</v>
      </c>
      <c r="AQ25" s="6"/>
      <c r="AR25" s="6"/>
      <c r="AS25" s="6"/>
      <c r="AT25" s="6"/>
      <c r="AU25" s="6"/>
      <c r="AV25" s="6"/>
    </row>
    <row r="26" spans="1:48">
      <c r="A26" s="4" t="str">
        <f>IF('[4]TS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'[4]TS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[5]ITEMS_Comm!A35</f>
        <v>*</v>
      </c>
      <c r="B9" s="19" t="str">
        <f>[5]ITEMS_Comm!B35</f>
        <v>E</v>
      </c>
      <c r="C9" s="27" t="str">
        <f>[5]ITEMS_Comm!C35</f>
        <v/>
      </c>
      <c r="D9" s="27" t="str">
        <f>[5]ITEMS_Comm!D35</f>
        <v/>
      </c>
      <c r="E9" s="19" t="str">
        <f>[5]ITEMS_Comm!E35</f>
        <v>PJ</v>
      </c>
      <c r="F9" s="19" t="str">
        <f>[5]ITEMS_Comm!F35</f>
        <v>COM,NRG,ANNUAL,FOSSIL</v>
      </c>
    </row>
    <row r="10" spans="1:7">
      <c r="A10" s="27" t="str">
        <f>[5]ITEMS_Comm!A36</f>
        <v>*</v>
      </c>
      <c r="B10" s="19" t="str">
        <f>[5]ITEMS_Comm!B36</f>
        <v>Demand Commodities</v>
      </c>
      <c r="C10" s="27">
        <f>[5]ITEMS_Comm!C36</f>
        <v>0</v>
      </c>
      <c r="D10" s="27">
        <f>[5]ITEMS_Comm!D36</f>
        <v>0</v>
      </c>
      <c r="E10" s="19">
        <f>[5]ITEMS_Comm!E36</f>
        <v>0</v>
      </c>
      <c r="F10" s="19">
        <f>[5]ITEMS_Comm!F36</f>
        <v>0</v>
      </c>
    </row>
    <row r="11" spans="1:7">
      <c r="A11" s="27" t="str">
        <f>[5]ITEMS_Comm!A37</f>
        <v/>
      </c>
      <c r="B11" s="19" t="str">
        <f>[5]ITEMS_Comm!B37</f>
        <v>E</v>
      </c>
      <c r="C11" s="27" t="str">
        <f>[5]ITEMS_Comm!C37</f>
        <v>IMIK</v>
      </c>
      <c r="D11" s="27" t="str">
        <f>[5]ITEMS_Comm!D37</f>
        <v>Industry-Mining-Elec Heating - Electricity</v>
      </c>
      <c r="E11" s="19" t="str">
        <f>[5]ITEMS_Comm!E37</f>
        <v>PJ</v>
      </c>
      <c r="F11" s="19" t="str">
        <f>[5]ITEMS_Comm!F37</f>
        <v>COM,DEM,ANNUAL,RES</v>
      </c>
    </row>
    <row r="12" spans="1:7">
      <c r="A12" s="27" t="str">
        <f>[5]ITEMS_Comm!A38</f>
        <v/>
      </c>
      <c r="B12" s="19" t="str">
        <f>[5]ITEMS_Comm!B38</f>
        <v>E</v>
      </c>
      <c r="C12" s="27" t="str">
        <f>[5]ITEMS_Comm!C38</f>
        <v>IMIA</v>
      </c>
      <c r="D12" s="27" t="str">
        <f>[5]ITEMS_Comm!D38</f>
        <v>Industry-Mining-Compressed air - Electricity</v>
      </c>
      <c r="E12" s="19" t="str">
        <f>[5]ITEMS_Comm!E38</f>
        <v>PJ</v>
      </c>
      <c r="F12" s="19" t="str">
        <f>[5]ITEMS_Comm!F38</f>
        <v>COM,DEM,ANNUAL,RES</v>
      </c>
    </row>
    <row r="13" spans="1:7">
      <c r="A13" s="27" t="str">
        <f>[5]ITEMS_Comm!A39</f>
        <v/>
      </c>
      <c r="B13" s="19" t="str">
        <f>[5]ITEMS_Comm!B39</f>
        <v>E</v>
      </c>
      <c r="C13" s="27" t="str">
        <f>[5]ITEMS_Comm!C39</f>
        <v>IMIL</v>
      </c>
      <c r="D13" s="27" t="str">
        <f>[5]ITEMS_Comm!D39</f>
        <v>Industry-Mining-Lighting - Electricity</v>
      </c>
      <c r="E13" s="19" t="str">
        <f>[5]ITEMS_Comm!E39</f>
        <v>PJ</v>
      </c>
      <c r="F13" s="19" t="str">
        <f>[5]ITEMS_Comm!F39</f>
        <v>COM,DEM,ANNUAL,RES</v>
      </c>
    </row>
    <row r="14" spans="1:7">
      <c r="A14" s="27" t="str">
        <f>[5]ITEMS_Comm!A40</f>
        <v/>
      </c>
      <c r="B14" s="19" t="str">
        <f>[5]ITEMS_Comm!B40</f>
        <v>E</v>
      </c>
      <c r="C14" s="27" t="str">
        <f>[5]ITEMS_Comm!C40</f>
        <v>IMIC</v>
      </c>
      <c r="D14" s="27" t="str">
        <f>[5]ITEMS_Comm!D40</f>
        <v>Industry-Mining-Cooling - Electricity</v>
      </c>
      <c r="E14" s="19" t="str">
        <f>[5]ITEMS_Comm!E40</f>
        <v>PJ</v>
      </c>
      <c r="F14" s="19" t="str">
        <f>[5]ITEMS_Comm!F40</f>
        <v>COM,DEM,ANNUAL,RES</v>
      </c>
    </row>
    <row r="15" spans="1:7">
      <c r="A15" s="27" t="str">
        <f>[5]ITEMS_Comm!A41</f>
        <v/>
      </c>
      <c r="B15" s="19" t="str">
        <f>[5]ITEMS_Comm!B41</f>
        <v>E</v>
      </c>
      <c r="C15" s="27" t="str">
        <f>[5]ITEMS_Comm!C41</f>
        <v>IMIH</v>
      </c>
      <c r="D15" s="27" t="str">
        <f>[5]ITEMS_Comm!D41</f>
        <v>Industry-Mining-HVAC - Electricity</v>
      </c>
      <c r="E15" s="19" t="str">
        <f>[5]ITEMS_Comm!E41</f>
        <v>PJ</v>
      </c>
      <c r="F15" s="19" t="str">
        <f>[5]ITEMS_Comm!F41</f>
        <v>COM,DEM,ANNUAL,RES</v>
      </c>
    </row>
    <row r="16" spans="1:7">
      <c r="A16" s="27" t="str">
        <f>[5]ITEMS_Comm!A42</f>
        <v/>
      </c>
      <c r="B16" s="19" t="str">
        <f>[5]ITEMS_Comm!B42</f>
        <v>E</v>
      </c>
      <c r="C16" s="27" t="str">
        <f>[5]ITEMS_Comm!C42</f>
        <v>IMIP</v>
      </c>
      <c r="D16" s="27" t="str">
        <f>[5]ITEMS_Comm!D42</f>
        <v>Industry-Mining-Pumping - Electricity</v>
      </c>
      <c r="E16" s="19" t="str">
        <f>[5]ITEMS_Comm!E42</f>
        <v>PJ</v>
      </c>
      <c r="F16" s="19" t="str">
        <f>[5]ITEMS_Comm!F42</f>
        <v>COM,DEM,ANNUAL,RES</v>
      </c>
    </row>
    <row r="17" spans="1:6">
      <c r="A17" s="27" t="str">
        <f>[5]ITEMS_Comm!A43</f>
        <v/>
      </c>
      <c r="B17" s="19" t="str">
        <f>[5]ITEMS_Comm!B43</f>
        <v>E</v>
      </c>
      <c r="C17" s="27" t="str">
        <f>[5]ITEMS_Comm!C43</f>
        <v>IMIF</v>
      </c>
      <c r="D17" s="27" t="str">
        <f>[5]ITEMS_Comm!D43</f>
        <v>Industry-Mining-Fans - Electricity</v>
      </c>
      <c r="E17" s="19" t="str">
        <f>[5]ITEMS_Comm!E43</f>
        <v>PJ</v>
      </c>
      <c r="F17" s="19" t="str">
        <f>[5]ITEMS_Comm!F43</f>
        <v>COM,DEM,ANNUAL,RES</v>
      </c>
    </row>
    <row r="18" spans="1:6">
      <c r="A18" s="27" t="str">
        <f>[5]ITEMS_Comm!A44</f>
        <v/>
      </c>
      <c r="B18" s="19" t="str">
        <f>[5]ITEMS_Comm!B44</f>
        <v>E</v>
      </c>
      <c r="C18" s="27" t="str">
        <f>[5]ITEMS_Comm!C44</f>
        <v>IMIO</v>
      </c>
      <c r="D18" s="27" t="str">
        <f>[5]ITEMS_Comm!D44</f>
        <v>Industry-Mining-Other motive - Electricity</v>
      </c>
      <c r="E18" s="19" t="str">
        <f>[5]ITEMS_Comm!E44</f>
        <v>PJ</v>
      </c>
      <c r="F18" s="19" t="str">
        <f>[5]ITEMS_Comm!F44</f>
        <v>COM,DEM,ANNUAL,RES</v>
      </c>
    </row>
    <row r="19" spans="1:6">
      <c r="A19" s="27" t="str">
        <f>[5]ITEMS_Comm!A45</f>
        <v/>
      </c>
      <c r="B19" s="19" t="str">
        <f>[5]ITEMS_Comm!B45</f>
        <v>E</v>
      </c>
      <c r="C19" s="27" t="str">
        <f>[5]ITEMS_Comm!C45</f>
        <v>IMIE</v>
      </c>
      <c r="D19" s="27" t="str">
        <f>[5]ITEMS_Comm!D45</f>
        <v>Industry-Mining-Electrochemical - Electricity</v>
      </c>
      <c r="E19" s="19" t="str">
        <f>[5]ITEMS_Comm!E45</f>
        <v>PJ</v>
      </c>
      <c r="F19" s="19" t="str">
        <f>[5]ITEMS_Comm!F45</f>
        <v>COM,DEM,ANNUAL,RES</v>
      </c>
    </row>
    <row r="20" spans="1:6">
      <c r="A20" s="27" t="str">
        <f>[5]ITEMS_Comm!A46</f>
        <v>*</v>
      </c>
      <c r="B20" s="19" t="str">
        <f>[5]ITEMS_Comm!B46</f>
        <v>E</v>
      </c>
      <c r="C20" s="27">
        <f>[5]ITEMS_Comm!C46</f>
        <v>0</v>
      </c>
      <c r="D20" s="27" t="str">
        <f>[5]ITEMS_Comm!D46</f>
        <v/>
      </c>
      <c r="E20" s="19" t="str">
        <f>[5]ITEMS_Comm!E46</f>
        <v>PJ</v>
      </c>
      <c r="F20" s="19" t="str">
        <f>[5]ITEMS_Comm!F46</f>
        <v>COM,DEM,ANNUAL,RES</v>
      </c>
    </row>
    <row r="21" spans="1:6">
      <c r="A21" s="27" t="str">
        <f>[5]ITEMS_Comm!A47</f>
        <v/>
      </c>
      <c r="B21" s="19" t="str">
        <f>[5]ITEMS_Comm!B47</f>
        <v>E</v>
      </c>
      <c r="C21" s="27" t="str">
        <f>[5]ITEMS_Comm!C47</f>
        <v>IMIS</v>
      </c>
      <c r="D21" s="27" t="str">
        <f>[5]ITEMS_Comm!D47</f>
        <v>Industry-Mining-boiler/process heating - Coal - Existing</v>
      </c>
      <c r="E21" s="19" t="str">
        <f>[5]ITEMS_Comm!E47</f>
        <v>PJ</v>
      </c>
      <c r="F21" s="19" t="str">
        <f>[5]ITEMS_Comm!F47</f>
        <v>COM,DEM,ANNUAL,RES</v>
      </c>
    </row>
    <row r="22" spans="1:6">
      <c r="A22" s="27" t="str">
        <f>[5]ITEMS_Comm!A48</f>
        <v/>
      </c>
      <c r="B22" s="19" t="str">
        <f>[5]ITEMS_Comm!B48</f>
        <v>E</v>
      </c>
      <c r="C22" s="27" t="str">
        <f>[5]ITEMS_Comm!C48</f>
        <v>IMIS</v>
      </c>
      <c r="D22" s="27" t="str">
        <f>[5]ITEMS_Comm!D48</f>
        <v>Industry-Mining-boiler/process heating - Gas - Existing</v>
      </c>
      <c r="E22" s="19" t="str">
        <f>[5]ITEMS_Comm!E48</f>
        <v>PJ</v>
      </c>
      <c r="F22" s="19" t="str">
        <f>[5]ITEMS_Comm!F48</f>
        <v>COM,DEM,ANNUAL,RES</v>
      </c>
    </row>
    <row r="23" spans="1:6">
      <c r="A23" s="27" t="str">
        <f>[5]ITEMS_Comm!A49</f>
        <v/>
      </c>
      <c r="B23" s="19" t="str">
        <f>[5]ITEMS_Comm!B49</f>
        <v>E</v>
      </c>
      <c r="C23" s="27" t="str">
        <f>[5]ITEMS_Comm!C49</f>
        <v>IMIS</v>
      </c>
      <c r="D23" s="27" t="str">
        <f>[5]ITEMS_Comm!D49</f>
        <v>Industry-Mining-boiler/process heating - Oil HFO - Existing</v>
      </c>
      <c r="E23" s="19" t="str">
        <f>[5]ITEMS_Comm!E49</f>
        <v>PJ</v>
      </c>
      <c r="F23" s="19" t="str">
        <f>[5]ITEMS_Comm!F49</f>
        <v>COM,DEM,ANNUAL,RES</v>
      </c>
    </row>
    <row r="24" spans="1:6">
      <c r="A24" s="27" t="str">
        <f>[5]ITEMS_Comm!A50</f>
        <v/>
      </c>
      <c r="B24" s="19" t="str">
        <f>[5]ITEMS_Comm!B50</f>
        <v>E</v>
      </c>
      <c r="C24" s="27" t="str">
        <f>[5]ITEMS_Comm!C50</f>
        <v>IMIS</v>
      </c>
      <c r="D24" s="27" t="str">
        <f>[5]ITEMS_Comm!D50</f>
        <v>Industry-Mining-boiler/process heating - Oil LPG - Existing</v>
      </c>
      <c r="E24" s="19" t="str">
        <f>[5]ITEMS_Comm!E50</f>
        <v>PJ</v>
      </c>
      <c r="F24" s="19" t="str">
        <f>[5]ITEMS_Comm!F50</f>
        <v>COM,DEM,ANNUAL,RES</v>
      </c>
    </row>
    <row r="25" spans="1:6">
      <c r="A25" s="27" t="str">
        <f>[5]ITEMS_Comm!A51</f>
        <v/>
      </c>
      <c r="B25" s="19" t="str">
        <f>[5]ITEMS_Comm!B51</f>
        <v>E</v>
      </c>
      <c r="C25" s="27" t="str">
        <f>[5]ITEMS_Comm!C51</f>
        <v>IMIS</v>
      </c>
      <c r="D25" s="27" t="str">
        <f>[5]ITEMS_Comm!D51</f>
        <v>Industry-Mining-boiler/process heating - Electricity - Existing</v>
      </c>
      <c r="E25" s="19" t="str">
        <f>[5]ITEMS_Comm!E51</f>
        <v>PJ</v>
      </c>
      <c r="F25" s="19" t="str">
        <f>[5]ITEMS_Comm!F51</f>
        <v>COM,DEM,ANNUAL,RES</v>
      </c>
    </row>
    <row r="26" spans="1:6">
      <c r="A26" s="27" t="str">
        <f>[5]ITEMS_Comm!A52</f>
        <v/>
      </c>
      <c r="B26" s="19" t="str">
        <f>[5]ITEMS_Comm!B52</f>
        <v>E</v>
      </c>
      <c r="C26" s="27" t="str">
        <f>[5]ITEMS_Comm!C52</f>
        <v>IMIS</v>
      </c>
      <c r="D26" s="27" t="str">
        <f>[5]ITEMS_Comm!D52</f>
        <v>Industry-Mining-boiler/process heating - Waste - Existing</v>
      </c>
      <c r="E26" s="19" t="str">
        <f>[5]ITEMS_Comm!E52</f>
        <v>PJ</v>
      </c>
      <c r="F26" s="19" t="str">
        <f>[5]ITEMS_Comm!F52</f>
        <v>COM,DEM,ANNUAL,RES</v>
      </c>
    </row>
    <row r="27" spans="1:6">
      <c r="A27" s="27" t="str">
        <f>[5]ITEMS_Comm!A53</f>
        <v>*</v>
      </c>
      <c r="B27" s="19" t="str">
        <f>[5]ITEMS_Comm!B53</f>
        <v>E</v>
      </c>
      <c r="C27" s="27">
        <f>[5]ITEMS_Comm!C53</f>
        <v>0</v>
      </c>
      <c r="D27" s="27" t="str">
        <f>[5]ITEMS_Comm!D53</f>
        <v/>
      </c>
      <c r="E27" s="19" t="str">
        <f>[5]ITEMS_Comm!E53</f>
        <v>PJ</v>
      </c>
      <c r="F27" s="19" t="str">
        <f>[5]ITEMS_Comm!F53</f>
        <v>COM,DEM,ANNUAL,RES</v>
      </c>
    </row>
    <row r="28" spans="1:6">
      <c r="A28" s="27" t="str">
        <f>[5]ITEMS_Comm!A54</f>
        <v/>
      </c>
      <c r="B28" s="19" t="str">
        <f>[5]ITEMS_Comm!B54</f>
        <v>E</v>
      </c>
      <c r="C28" s="27" t="str">
        <f>[5]ITEMS_Comm!C54</f>
        <v>IMIR</v>
      </c>
      <c r="D28" s="27" t="str">
        <f>[5]ITEMS_Comm!D54</f>
        <v>Industry-Mining-Transport - Oil Diesel - Existing</v>
      </c>
      <c r="E28" s="19" t="str">
        <f>[5]ITEMS_Comm!E54</f>
        <v>PJ</v>
      </c>
      <c r="F28" s="19" t="str">
        <f>[5]ITEMS_Comm!F54</f>
        <v>COM,DEM,ANNUAL,RES</v>
      </c>
    </row>
    <row r="29" spans="1:6">
      <c r="A29" s="27" t="str">
        <f>[5]ITEMS_Comm!A55</f>
        <v>*</v>
      </c>
      <c r="B29" s="19" t="str">
        <f>[5]ITEMS_Comm!B55</f>
        <v>E</v>
      </c>
      <c r="C29" s="27" t="str">
        <f>[5]ITEMS_Comm!C55</f>
        <v>Useful Energy Service</v>
      </c>
      <c r="D29" s="27" t="str">
        <f>[5]ITEMS_Comm!D55</f>
        <v/>
      </c>
      <c r="E29" s="19" t="str">
        <f>[5]ITEMS_Comm!E55</f>
        <v>PJ</v>
      </c>
      <c r="F29" s="19" t="str">
        <f>[5]ITEMS_Comm!F55</f>
        <v>COM,DEM,ANNUAL,RES</v>
      </c>
    </row>
    <row r="30" spans="1:6">
      <c r="A30" s="27" t="str">
        <f>[5]ITEMS_Comm!A56</f>
        <v>*</v>
      </c>
      <c r="B30" s="19" t="str">
        <f>[5]ITEMS_Comm!B56</f>
        <v>E</v>
      </c>
      <c r="C30" s="27">
        <f>[5]ITEMS_Comm!C56</f>
        <v>0</v>
      </c>
      <c r="D30" s="27" t="str">
        <f>[5]ITEMS_Comm!D56</f>
        <v/>
      </c>
      <c r="E30" s="19" t="str">
        <f>[5]ITEMS_Comm!E56</f>
        <v>PJ</v>
      </c>
      <c r="F30" s="19" t="str">
        <f>[5]ITEMS_Comm!F56</f>
        <v>COM,DEM,ANNUAL,RES</v>
      </c>
    </row>
    <row r="31" spans="1:6">
      <c r="A31" s="27" t="str">
        <f>[5]ITEMS_Comm!A57</f>
        <v>*</v>
      </c>
      <c r="B31" s="19" t="str">
        <f>[5]ITEMS_Comm!B57</f>
        <v>E</v>
      </c>
      <c r="C31" s="27">
        <f>[5]ITEMS_Comm!C57</f>
        <v>2</v>
      </c>
      <c r="D31" s="27" t="str">
        <f>[5]ITEMS_Comm!D57</f>
        <v/>
      </c>
      <c r="E31" s="19" t="str">
        <f>[5]ITEMS_Comm!E57</f>
        <v>PJ</v>
      </c>
      <c r="F31" s="19" t="str">
        <f>[5]ITEMS_Comm!F57</f>
        <v>COM,DEM,ANNUAL,RES</v>
      </c>
    </row>
    <row r="32" spans="1:6">
      <c r="A32" s="27" t="str">
        <f>[5]ITEMS_Comm!A58</f>
        <v>*</v>
      </c>
      <c r="B32" s="19" t="str">
        <f>[5]ITEMS_Comm!B58</f>
        <v>E</v>
      </c>
      <c r="C32" s="27" t="str">
        <f>[5]ITEMS_Comm!C58</f>
        <v>IFAK</v>
      </c>
      <c r="D32" s="27" t="str">
        <f>[5]ITEMS_Comm!D58</f>
        <v/>
      </c>
      <c r="E32" s="19" t="str">
        <f>[5]ITEMS_Comm!E58</f>
        <v>PJ</v>
      </c>
      <c r="F32" s="19" t="str">
        <f>[5]ITEMS_Comm!F58</f>
        <v>COM,DEM,ANNUAL,RES</v>
      </c>
    </row>
    <row r="33" spans="1:6">
      <c r="A33" s="27" t="str">
        <f>[5]ITEMS_Comm!A59</f>
        <v>*</v>
      </c>
      <c r="B33" s="19" t="str">
        <f>[5]ITEMS_Comm!B59</f>
        <v>E</v>
      </c>
      <c r="C33" s="27" t="str">
        <f>[5]ITEMS_Comm!C59</f>
        <v>IFAA</v>
      </c>
      <c r="D33" s="27" t="str">
        <f>[5]ITEMS_Comm!D59</f>
        <v/>
      </c>
      <c r="E33" s="19" t="str">
        <f>[5]ITEMS_Comm!E59</f>
        <v>PJ</v>
      </c>
      <c r="F33" s="19" t="str">
        <f>[5]ITEMS_Comm!F59</f>
        <v>COM,DEM,ANNUAL,RES</v>
      </c>
    </row>
    <row r="34" spans="1:6">
      <c r="A34" s="27" t="str">
        <f>[5]ITEMS_Comm!A60</f>
        <v>*</v>
      </c>
      <c r="B34" s="19" t="str">
        <f>[5]ITEMS_Comm!B60</f>
        <v>E</v>
      </c>
      <c r="C34" s="27" t="str">
        <f>[5]ITEMS_Comm!C60</f>
        <v>IFAL</v>
      </c>
      <c r="D34" s="27" t="str">
        <f>[5]ITEMS_Comm!D60</f>
        <v/>
      </c>
      <c r="E34" s="19" t="str">
        <f>[5]ITEMS_Comm!E60</f>
        <v>PJ</v>
      </c>
      <c r="F34" s="19" t="str">
        <f>[5]ITEMS_Comm!F60</f>
        <v>COM,DEM,ANNUAL,RES</v>
      </c>
    </row>
    <row r="35" spans="1:6">
      <c r="A35" s="27" t="str">
        <f>[5]ITEMS_Comm!A61</f>
        <v>*</v>
      </c>
      <c r="B35" s="19" t="str">
        <f>[5]ITEMS_Comm!B61</f>
        <v>E</v>
      </c>
      <c r="C35" s="27" t="str">
        <f>[5]ITEMS_Comm!C61</f>
        <v>IFAC</v>
      </c>
      <c r="D35" s="27" t="str">
        <f>[5]ITEMS_Comm!D61</f>
        <v/>
      </c>
      <c r="E35" s="19" t="str">
        <f>[5]ITEMS_Comm!E61</f>
        <v>PJ</v>
      </c>
      <c r="F35" s="19" t="str">
        <f>[5]ITEMS_Comm!F61</f>
        <v>COM,DEM,ANNUAL,RES</v>
      </c>
    </row>
    <row r="36" spans="1:6">
      <c r="A36" s="27" t="str">
        <f>[5]ITEMS_Comm!A62</f>
        <v>*</v>
      </c>
      <c r="B36" s="19" t="str">
        <f>[5]ITEMS_Comm!B62</f>
        <v>E</v>
      </c>
      <c r="C36" s="27" t="str">
        <f>[5]ITEMS_Comm!C62</f>
        <v>IFAH</v>
      </c>
      <c r="D36" s="27" t="str">
        <f>[5]ITEMS_Comm!D62</f>
        <v/>
      </c>
      <c r="E36" s="19" t="str">
        <f>[5]ITEMS_Comm!E62</f>
        <v>PJ</v>
      </c>
      <c r="F36" s="19" t="str">
        <f>[5]ITEMS_Comm!F62</f>
        <v>COM,DEM,ANNUAL,RES</v>
      </c>
    </row>
    <row r="37" spans="1:6">
      <c r="A37" s="27" t="str">
        <f>[5]ITEMS_Comm!A63</f>
        <v>*</v>
      </c>
      <c r="B37" s="19" t="str">
        <f>[5]ITEMS_Comm!B63</f>
        <v>E</v>
      </c>
      <c r="C37" s="27" t="str">
        <f>[5]ITEMS_Comm!C63</f>
        <v>IFAP</v>
      </c>
      <c r="D37" s="27" t="str">
        <f>[5]ITEMS_Comm!D63</f>
        <v/>
      </c>
      <c r="E37" s="19" t="str">
        <f>[5]ITEMS_Comm!E63</f>
        <v>PJ</v>
      </c>
      <c r="F37" s="19" t="str">
        <f>[5]ITEMS_Comm!F63</f>
        <v>COM,DEM,ANNUAL,RES</v>
      </c>
    </row>
    <row r="38" spans="1:6">
      <c r="A38" s="27" t="str">
        <f>[5]ITEMS_Comm!A64</f>
        <v>*</v>
      </c>
      <c r="B38" s="19" t="str">
        <f>[5]ITEMS_Comm!B64</f>
        <v>E</v>
      </c>
      <c r="C38" s="27" t="str">
        <f>[5]ITEMS_Comm!C64</f>
        <v>IFAF</v>
      </c>
      <c r="D38" s="27" t="str">
        <f>[5]ITEMS_Comm!D64</f>
        <v/>
      </c>
      <c r="E38" s="19" t="str">
        <f>[5]ITEMS_Comm!E64</f>
        <v>PJ</v>
      </c>
      <c r="F38" s="19" t="str">
        <f>[5]ITEMS_Comm!F64</f>
        <v>COM,DEM,ANNUAL,RES</v>
      </c>
    </row>
    <row r="39" spans="1:6">
      <c r="A39" s="27" t="str">
        <f>[5]ITEMS_Comm!A65</f>
        <v>*</v>
      </c>
      <c r="B39" s="19" t="str">
        <f>[5]ITEMS_Comm!B65</f>
        <v>E</v>
      </c>
      <c r="C39" s="27" t="str">
        <f>[5]ITEMS_Comm!C65</f>
        <v>IFAO</v>
      </c>
      <c r="D39" s="27" t="str">
        <f>[5]ITEMS_Comm!D65</f>
        <v/>
      </c>
      <c r="E39" s="19" t="str">
        <f>[5]ITEMS_Comm!E65</f>
        <v>PJ</v>
      </c>
      <c r="F39" s="19" t="str">
        <f>[5]ITEMS_Comm!F65</f>
        <v>COM,DEM,ANNUAL,RES</v>
      </c>
    </row>
    <row r="40" spans="1:6">
      <c r="A40" s="27" t="str">
        <f>[5]ITEMS_Comm!A66</f>
        <v>*</v>
      </c>
      <c r="B40" s="19" t="str">
        <f>[5]ITEMS_Comm!B66</f>
        <v>E</v>
      </c>
      <c r="C40" s="27" t="str">
        <f>[5]ITEMS_Comm!C66</f>
        <v>IFAE</v>
      </c>
      <c r="D40" s="27" t="str">
        <f>[5]ITEMS_Comm!D66</f>
        <v/>
      </c>
      <c r="E40" s="19" t="str">
        <f>[5]ITEMS_Comm!E66</f>
        <v>PJ</v>
      </c>
      <c r="F40" s="19" t="str">
        <f>[5]ITEMS_Comm!F66</f>
        <v>COM,DEM,ANNUAL,RES</v>
      </c>
    </row>
    <row r="41" spans="1:6">
      <c r="A41" s="27" t="str">
        <f>[5]ITEMS_Comm!A67</f>
        <v>*</v>
      </c>
      <c r="B41" s="19" t="str">
        <f>[5]ITEMS_Comm!B67</f>
        <v>E</v>
      </c>
      <c r="C41" s="27">
        <f>[5]ITEMS_Comm!C67</f>
        <v>0</v>
      </c>
      <c r="D41" s="27" t="str">
        <f>[5]ITEMS_Comm!D67</f>
        <v/>
      </c>
      <c r="E41" s="19" t="str">
        <f>[5]ITEMS_Comm!E67</f>
        <v>PJ</v>
      </c>
      <c r="F41" s="19" t="str">
        <f>[5]ITEMS_Comm!F67</f>
        <v>COM,DEM,ANNUAL,RES</v>
      </c>
    </row>
    <row r="42" spans="1:6">
      <c r="A42" s="27" t="str">
        <f>[5]ITEMS_Comm!A68</f>
        <v>*</v>
      </c>
      <c r="B42" s="19" t="str">
        <f>[5]ITEMS_Comm!B68</f>
        <v>E</v>
      </c>
      <c r="C42" s="27" t="str">
        <f>[5]ITEMS_Comm!C68</f>
        <v>IFAS</v>
      </c>
      <c r="D42" s="27" t="str">
        <f>[5]ITEMS_Comm!D68</f>
        <v/>
      </c>
      <c r="E42" s="19" t="str">
        <f>[5]ITEMS_Comm!E68</f>
        <v>PJ</v>
      </c>
      <c r="F42" s="19" t="str">
        <f>[5]ITEMS_Comm!F68</f>
        <v>COM,DEM,ANNUAL,RES</v>
      </c>
    </row>
    <row r="43" spans="1:6">
      <c r="A43" s="27" t="str">
        <f>[5]ITEMS_Comm!A69</f>
        <v>*</v>
      </c>
      <c r="B43" s="19" t="str">
        <f>[5]ITEMS_Comm!B69</f>
        <v>E</v>
      </c>
      <c r="C43" s="27" t="str">
        <f>[5]ITEMS_Comm!C69</f>
        <v>IFAS</v>
      </c>
      <c r="D43" s="27" t="str">
        <f>[5]ITEMS_Comm!D69</f>
        <v/>
      </c>
      <c r="E43" s="19" t="str">
        <f>[5]ITEMS_Comm!E69</f>
        <v>PJ</v>
      </c>
      <c r="F43" s="19" t="str">
        <f>[5]ITEMS_Comm!F69</f>
        <v>COM,DEM,ANNUAL,RES</v>
      </c>
    </row>
    <row r="44" spans="1:6">
      <c r="A44" s="27" t="str">
        <f>[5]ITEMS_Comm!A70</f>
        <v>*</v>
      </c>
      <c r="B44" s="19" t="str">
        <f>[5]ITEMS_Comm!B70</f>
        <v>E</v>
      </c>
      <c r="C44" s="27" t="str">
        <f>[5]ITEMS_Comm!C70</f>
        <v>IFAS</v>
      </c>
      <c r="D44" s="27" t="str">
        <f>[5]ITEMS_Comm!D70</f>
        <v/>
      </c>
      <c r="E44" s="19" t="str">
        <f>[5]ITEMS_Comm!E70</f>
        <v>PJ</v>
      </c>
      <c r="F44" s="19" t="str">
        <f>[5]ITEMS_Comm!F70</f>
        <v>COM,DEM,ANNUAL,RES</v>
      </c>
    </row>
    <row r="45" spans="1:6">
      <c r="A45" s="27" t="str">
        <f>[5]ITEMS_Comm!A71</f>
        <v>*</v>
      </c>
      <c r="B45" s="19" t="str">
        <f>[5]ITEMS_Comm!B71</f>
        <v>E</v>
      </c>
      <c r="C45" s="27" t="str">
        <f>[5]ITEMS_Comm!C71</f>
        <v>IFAS</v>
      </c>
      <c r="D45" s="27" t="str">
        <f>[5]ITEMS_Comm!D71</f>
        <v/>
      </c>
      <c r="E45" s="19" t="str">
        <f>[5]ITEMS_Comm!E71</f>
        <v>PJ</v>
      </c>
      <c r="F45" s="19" t="str">
        <f>[5]ITEMS_Comm!F71</f>
        <v>COM,DEM,ANNUAL,RES</v>
      </c>
    </row>
    <row r="46" spans="1:6">
      <c r="A46" s="27" t="str">
        <f>[5]ITEMS_Comm!A72</f>
        <v>*</v>
      </c>
      <c r="B46" s="19" t="str">
        <f>[5]ITEMS_Comm!B72</f>
        <v>E</v>
      </c>
      <c r="C46" s="27" t="str">
        <f>[5]ITEMS_Comm!C72</f>
        <v>IFAS</v>
      </c>
      <c r="D46" s="27" t="str">
        <f>[5]ITEMS_Comm!D72</f>
        <v/>
      </c>
      <c r="E46" s="19" t="str">
        <f>[5]ITEMS_Comm!E72</f>
        <v>PJ</v>
      </c>
      <c r="F46" s="19" t="str">
        <f>[5]ITEMS_Comm!F72</f>
        <v>COM,DEM,ANNUAL,RES</v>
      </c>
    </row>
    <row r="47" spans="1:6">
      <c r="A47" s="27" t="str">
        <f>[5]ITEMS_Comm!A73</f>
        <v>*</v>
      </c>
      <c r="B47" s="19" t="str">
        <f>[5]ITEMS_Comm!B73</f>
        <v>E</v>
      </c>
      <c r="C47" s="27" t="str">
        <f>[5]ITEMS_Comm!C73</f>
        <v>IFAS</v>
      </c>
      <c r="D47" s="27" t="str">
        <f>[5]ITEMS_Comm!D73</f>
        <v/>
      </c>
      <c r="E47" s="19" t="str">
        <f>[5]ITEMS_Comm!E73</f>
        <v>PJ</v>
      </c>
      <c r="F47" s="19" t="str">
        <f>[5]ITEMS_Comm!F73</f>
        <v>COM,DEM,ANNUAL,RES</v>
      </c>
    </row>
    <row r="48" spans="1:6">
      <c r="A48" s="27" t="str">
        <f>[5]ITEMS_Comm!A74</f>
        <v>*</v>
      </c>
      <c r="B48" s="19" t="str">
        <f>[5]ITEMS_Comm!B74</f>
        <v>E</v>
      </c>
      <c r="C48" s="27">
        <f>[5]ITEMS_Comm!C74</f>
        <v>0</v>
      </c>
      <c r="D48" s="27" t="str">
        <f>[5]ITEMS_Comm!D74</f>
        <v/>
      </c>
      <c r="E48" s="19" t="str">
        <f>[5]ITEMS_Comm!E74</f>
        <v>PJ</v>
      </c>
      <c r="F48" s="19" t="str">
        <f>[5]ITEMS_Comm!F74</f>
        <v>COM,DEM,ANNUAL,RES</v>
      </c>
    </row>
    <row r="49" spans="1:6">
      <c r="A49" s="27" t="str">
        <f>[5]ITEMS_Comm!A75</f>
        <v>*</v>
      </c>
      <c r="B49" s="19" t="str">
        <f>[5]ITEMS_Comm!B75</f>
        <v>E</v>
      </c>
      <c r="C49" s="27" t="str">
        <f>[5]ITEMS_Comm!C75</f>
        <v>IFAR</v>
      </c>
      <c r="D49" s="27" t="str">
        <f>[5]ITEMS_Comm!D75</f>
        <v/>
      </c>
      <c r="E49" s="19" t="str">
        <f>[5]ITEMS_Comm!E75</f>
        <v>PJ</v>
      </c>
      <c r="F49" s="19" t="str">
        <f>[5]ITEMS_Comm!F75</f>
        <v>COM,DEM,ANNUAL,RES</v>
      </c>
    </row>
    <row r="50" spans="1:6">
      <c r="A50" s="27" t="str">
        <f>[5]ITEMS_Comm!A76</f>
        <v>*</v>
      </c>
      <c r="B50" s="19" t="str">
        <f>[5]ITEMS_Comm!B76</f>
        <v>E</v>
      </c>
      <c r="C50" s="27" t="str">
        <f>[5]ITEMS_Comm!C76</f>
        <v>Useful Energy Service</v>
      </c>
      <c r="D50" s="27" t="str">
        <f>[5]ITEMS_Comm!D76</f>
        <v/>
      </c>
      <c r="E50" s="19" t="str">
        <f>[5]ITEMS_Comm!E76</f>
        <v>PJ</v>
      </c>
      <c r="F50" s="19" t="str">
        <f>[5]ITEMS_Comm!F76</f>
        <v>COM,DEM,ANNUAL,RES</v>
      </c>
    </row>
    <row r="51" spans="1:6">
      <c r="A51" s="27" t="str">
        <f>[5]ITEMS_Comm!A77</f>
        <v>*</v>
      </c>
      <c r="B51" s="19" t="str">
        <f>[5]ITEMS_Comm!B77</f>
        <v>E</v>
      </c>
      <c r="C51" s="27">
        <f>[5]ITEMS_Comm!C77</f>
        <v>0</v>
      </c>
      <c r="D51" s="27" t="str">
        <f>[5]ITEMS_Comm!D77</f>
        <v/>
      </c>
      <c r="E51" s="19" t="str">
        <f>[5]ITEMS_Comm!E77</f>
        <v>PJ</v>
      </c>
      <c r="F51" s="19" t="str">
        <f>[5]ITEMS_Comm!F77</f>
        <v>COM,DEM,ANNUAL,RES</v>
      </c>
    </row>
    <row r="52" spans="1:6">
      <c r="A52" s="27" t="str">
        <f>[5]ITEMS_Comm!A78</f>
        <v>*</v>
      </c>
      <c r="B52" s="19" t="str">
        <f>[5]ITEMS_Comm!B78</f>
        <v>E</v>
      </c>
      <c r="C52" s="27">
        <f>[5]ITEMS_Comm!C78</f>
        <v>2</v>
      </c>
      <c r="D52" s="27" t="str">
        <f>[5]ITEMS_Comm!D78</f>
        <v/>
      </c>
      <c r="E52" s="19" t="str">
        <f>[5]ITEMS_Comm!E78</f>
        <v>PJ</v>
      </c>
      <c r="F52" s="19" t="str">
        <f>[5]ITEMS_Comm!F78</f>
        <v>COM,DEM,ANNUAL,RES</v>
      </c>
    </row>
    <row r="53" spans="1:6">
      <c r="A53" s="27" t="str">
        <f>[5]ITEMS_Comm!A79</f>
        <v>*</v>
      </c>
      <c r="B53" s="19" t="str">
        <f>[5]ITEMS_Comm!B79</f>
        <v>E</v>
      </c>
      <c r="C53" s="27" t="str">
        <f>[5]ITEMS_Comm!C79</f>
        <v>IISK</v>
      </c>
      <c r="D53" s="27" t="str">
        <f>[5]ITEMS_Comm!D79</f>
        <v/>
      </c>
      <c r="E53" s="19" t="str">
        <f>[5]ITEMS_Comm!E79</f>
        <v>PJ</v>
      </c>
      <c r="F53" s="19" t="str">
        <f>[5]ITEMS_Comm!F79</f>
        <v>COM,DEM,ANNUAL,RES</v>
      </c>
    </row>
    <row r="54" spans="1:6">
      <c r="A54" s="27" t="str">
        <f>[5]ITEMS_Comm!A80</f>
        <v>*</v>
      </c>
      <c r="B54" s="19" t="str">
        <f>[5]ITEMS_Comm!B80</f>
        <v>E</v>
      </c>
      <c r="C54" s="27" t="str">
        <f>[5]ITEMS_Comm!C80</f>
        <v>IISA</v>
      </c>
      <c r="D54" s="27" t="str">
        <f>[5]ITEMS_Comm!D80</f>
        <v/>
      </c>
      <c r="E54" s="19" t="str">
        <f>[5]ITEMS_Comm!E80</f>
        <v>PJ</v>
      </c>
      <c r="F54" s="19" t="str">
        <f>[5]ITEMS_Comm!F80</f>
        <v>COM,DEM,ANNUAL,RES</v>
      </c>
    </row>
    <row r="55" spans="1:6">
      <c r="A55" s="27" t="str">
        <f>[5]ITEMS_Comm!A81</f>
        <v>*</v>
      </c>
      <c r="B55" s="19" t="str">
        <f>[5]ITEMS_Comm!B81</f>
        <v>E</v>
      </c>
      <c r="C55" s="27" t="str">
        <f>[5]ITEMS_Comm!C81</f>
        <v>IISL</v>
      </c>
      <c r="D55" s="27" t="str">
        <f>[5]ITEMS_Comm!D81</f>
        <v/>
      </c>
      <c r="E55" s="19" t="str">
        <f>[5]ITEMS_Comm!E81</f>
        <v>PJ</v>
      </c>
      <c r="F55" s="19" t="str">
        <f>[5]ITEMS_Comm!F81</f>
        <v>COM,DEM,ANNUAL,RES</v>
      </c>
    </row>
    <row r="56" spans="1:6">
      <c r="A56" s="27" t="str">
        <f>[5]ITEMS_Comm!A82</f>
        <v>*</v>
      </c>
      <c r="B56" s="19" t="str">
        <f>[5]ITEMS_Comm!B82</f>
        <v>E</v>
      </c>
      <c r="C56" s="27" t="str">
        <f>[5]ITEMS_Comm!C82</f>
        <v>IISC</v>
      </c>
      <c r="D56" s="27" t="str">
        <f>[5]ITEMS_Comm!D82</f>
        <v/>
      </c>
      <c r="E56" s="19" t="str">
        <f>[5]ITEMS_Comm!E82</f>
        <v>PJ</v>
      </c>
      <c r="F56" s="19" t="str">
        <f>[5]ITEMS_Comm!F82</f>
        <v>COM,DEM,ANNUAL,RES</v>
      </c>
    </row>
    <row r="57" spans="1:6">
      <c r="A57" s="27" t="str">
        <f>[5]ITEMS_Comm!A83</f>
        <v>*</v>
      </c>
      <c r="B57" s="19" t="str">
        <f>[5]ITEMS_Comm!B83</f>
        <v>E</v>
      </c>
      <c r="C57" s="27" t="str">
        <f>[5]ITEMS_Comm!C83</f>
        <v>IISH</v>
      </c>
      <c r="D57" s="27" t="str">
        <f>[5]ITEMS_Comm!D83</f>
        <v/>
      </c>
      <c r="E57" s="19" t="str">
        <f>[5]ITEMS_Comm!E83</f>
        <v>PJ</v>
      </c>
      <c r="F57" s="19" t="str">
        <f>[5]ITEMS_Comm!F83</f>
        <v>COM,DEM,ANNUAL,RES</v>
      </c>
    </row>
    <row r="58" spans="1:6">
      <c r="A58" s="27" t="str">
        <f>[5]ITEMS_Comm!A84</f>
        <v>*</v>
      </c>
      <c r="B58" s="19" t="str">
        <f>[5]ITEMS_Comm!B84</f>
        <v>E</v>
      </c>
      <c r="C58" s="27" t="str">
        <f>[5]ITEMS_Comm!C84</f>
        <v>IISP</v>
      </c>
      <c r="D58" s="27" t="str">
        <f>[5]ITEMS_Comm!D84</f>
        <v/>
      </c>
      <c r="E58" s="19" t="str">
        <f>[5]ITEMS_Comm!E84</f>
        <v>PJ</v>
      </c>
      <c r="F58" s="19" t="str">
        <f>[5]ITEMS_Comm!F84</f>
        <v>COM,DEM,ANNUAL,RES</v>
      </c>
    </row>
    <row r="59" spans="1:6">
      <c r="A59" s="27" t="str">
        <f>[5]ITEMS_Comm!A85</f>
        <v>*</v>
      </c>
      <c r="B59" s="19" t="str">
        <f>[5]ITEMS_Comm!B85</f>
        <v>E</v>
      </c>
      <c r="C59" s="27" t="str">
        <f>[5]ITEMS_Comm!C85</f>
        <v>IISF</v>
      </c>
      <c r="D59" s="27" t="str">
        <f>[5]ITEMS_Comm!D85</f>
        <v/>
      </c>
      <c r="E59" s="19" t="str">
        <f>[5]ITEMS_Comm!E85</f>
        <v>PJ</v>
      </c>
      <c r="F59" s="19" t="str">
        <f>[5]ITEMS_Comm!F85</f>
        <v>COM,DEM,ANNUAL,RES</v>
      </c>
    </row>
    <row r="60" spans="1:6">
      <c r="A60" s="27" t="str">
        <f>[5]ITEMS_Comm!A86</f>
        <v>*</v>
      </c>
      <c r="B60" s="19" t="str">
        <f>[5]ITEMS_Comm!B86</f>
        <v>E</v>
      </c>
      <c r="C60" s="27" t="str">
        <f>[5]ITEMS_Comm!C86</f>
        <v>IISO</v>
      </c>
      <c r="D60" s="27" t="str">
        <f>[5]ITEMS_Comm!D86</f>
        <v/>
      </c>
      <c r="E60" s="19" t="str">
        <f>[5]ITEMS_Comm!E86</f>
        <v>PJ</v>
      </c>
      <c r="F60" s="19" t="str">
        <f>[5]ITEMS_Comm!F86</f>
        <v>COM,DEM,ANNUAL,RES</v>
      </c>
    </row>
    <row r="61" spans="1:6">
      <c r="A61" s="27" t="str">
        <f>[5]ITEMS_Comm!A87</f>
        <v>*</v>
      </c>
      <c r="B61" s="19" t="str">
        <f>[5]ITEMS_Comm!B87</f>
        <v>E</v>
      </c>
      <c r="C61" s="27" t="str">
        <f>[5]ITEMS_Comm!C87</f>
        <v>IISE</v>
      </c>
      <c r="D61" s="27" t="str">
        <f>[5]ITEMS_Comm!D87</f>
        <v/>
      </c>
      <c r="E61" s="19" t="str">
        <f>[5]ITEMS_Comm!E87</f>
        <v>PJ</v>
      </c>
      <c r="F61" s="19" t="str">
        <f>[5]ITEMS_Comm!F87</f>
        <v>COM,DEM,ANNUAL,RES</v>
      </c>
    </row>
    <row r="62" spans="1:6">
      <c r="A62" s="27" t="str">
        <f>[5]ITEMS_Comm!A88</f>
        <v>*</v>
      </c>
      <c r="B62" s="19" t="str">
        <f>[5]ITEMS_Comm!B88</f>
        <v>E</v>
      </c>
      <c r="C62" s="27" t="str">
        <f>[5]ITEMS_Comm!C88</f>
        <v xml:space="preserve"> </v>
      </c>
      <c r="D62" s="27" t="str">
        <f>[5]ITEMS_Comm!D88</f>
        <v/>
      </c>
      <c r="E62" s="19" t="str">
        <f>[5]ITEMS_Comm!E88</f>
        <v>PJ</v>
      </c>
      <c r="F62" s="19" t="str">
        <f>[5]ITEMS_Comm!F88</f>
        <v>COM,DEM,ANNUAL,RES</v>
      </c>
    </row>
    <row r="63" spans="1:6">
      <c r="A63" s="27" t="str">
        <f>[5]ITEMS_Comm!A89</f>
        <v>*</v>
      </c>
      <c r="B63" s="19" t="str">
        <f>[5]ITEMS_Comm!B89</f>
        <v>E</v>
      </c>
      <c r="C63" s="27" t="str">
        <f>[5]ITEMS_Comm!C89</f>
        <v>IISS</v>
      </c>
      <c r="D63" s="27" t="str">
        <f>[5]ITEMS_Comm!D89</f>
        <v/>
      </c>
      <c r="E63" s="19" t="str">
        <f>[5]ITEMS_Comm!E89</f>
        <v>PJ</v>
      </c>
      <c r="F63" s="19" t="str">
        <f>[5]ITEMS_Comm!F89</f>
        <v>COM,DEM,ANNUAL,RES</v>
      </c>
    </row>
    <row r="64" spans="1:6">
      <c r="A64" s="27" t="str">
        <f>[5]ITEMS_Comm!A90</f>
        <v>*</v>
      </c>
      <c r="B64" s="19" t="str">
        <f>[5]ITEMS_Comm!B90</f>
        <v>E</v>
      </c>
      <c r="C64" s="27" t="str">
        <f>[5]ITEMS_Comm!C90</f>
        <v>IISS</v>
      </c>
      <c r="D64" s="27" t="str">
        <f>[5]ITEMS_Comm!D90</f>
        <v/>
      </c>
      <c r="E64" s="19" t="str">
        <f>[5]ITEMS_Comm!E90</f>
        <v>PJ</v>
      </c>
      <c r="F64" s="19" t="str">
        <f>[5]ITEMS_Comm!F90</f>
        <v>COM,DEM,ANNUAL,RES</v>
      </c>
    </row>
    <row r="65" spans="1:6">
      <c r="A65" s="27" t="str">
        <f>[5]ITEMS_Comm!A91</f>
        <v>*</v>
      </c>
      <c r="B65" s="19" t="str">
        <f>[5]ITEMS_Comm!B91</f>
        <v>E</v>
      </c>
      <c r="C65" s="27" t="str">
        <f>[5]ITEMS_Comm!C91</f>
        <v>IISS</v>
      </c>
      <c r="D65" s="27" t="str">
        <f>[5]ITEMS_Comm!D91</f>
        <v/>
      </c>
      <c r="E65" s="19" t="str">
        <f>[5]ITEMS_Comm!E91</f>
        <v>PJ</v>
      </c>
      <c r="F65" s="19" t="str">
        <f>[5]ITEMS_Comm!F91</f>
        <v>COM,DEM,ANNUAL,RES</v>
      </c>
    </row>
    <row r="66" spans="1:6">
      <c r="A66" s="27" t="str">
        <f>[5]ITEMS_Comm!A92</f>
        <v>*</v>
      </c>
      <c r="B66" s="19" t="str">
        <f>[5]ITEMS_Comm!B92</f>
        <v>E</v>
      </c>
      <c r="C66" s="27" t="str">
        <f>[5]ITEMS_Comm!C92</f>
        <v>IISS</v>
      </c>
      <c r="D66" s="27" t="str">
        <f>[5]ITEMS_Comm!D92</f>
        <v/>
      </c>
      <c r="E66" s="19" t="str">
        <f>[5]ITEMS_Comm!E92</f>
        <v>PJ</v>
      </c>
      <c r="F66" s="19" t="str">
        <f>[5]ITEMS_Comm!F92</f>
        <v>COM,DEM,ANNUAL,RES</v>
      </c>
    </row>
    <row r="67" spans="1:6">
      <c r="A67" s="27" t="str">
        <f>[5]ITEMS_Comm!A93</f>
        <v>*</v>
      </c>
      <c r="B67" s="19" t="str">
        <f>[5]ITEMS_Comm!B93</f>
        <v>E</v>
      </c>
      <c r="C67" s="27" t="str">
        <f>[5]ITEMS_Comm!C93</f>
        <v>IISS</v>
      </c>
      <c r="D67" s="27" t="str">
        <f>[5]ITEMS_Comm!D93</f>
        <v/>
      </c>
      <c r="E67" s="19" t="str">
        <f>[5]ITEMS_Comm!E93</f>
        <v>PJ</v>
      </c>
      <c r="F67" s="19" t="str">
        <f>[5]ITEMS_Comm!F93</f>
        <v>COM,DEM,ANNUAL,RES</v>
      </c>
    </row>
    <row r="68" spans="1:6">
      <c r="A68" s="27" t="str">
        <f>[5]ITEMS_Comm!A94</f>
        <v>*</v>
      </c>
      <c r="B68" s="19" t="str">
        <f>[5]ITEMS_Comm!B94</f>
        <v>E</v>
      </c>
      <c r="C68" s="27" t="str">
        <f>[5]ITEMS_Comm!C94</f>
        <v>IISS</v>
      </c>
      <c r="D68" s="27" t="str">
        <f>[5]ITEMS_Comm!D94</f>
        <v/>
      </c>
      <c r="E68" s="19" t="str">
        <f>[5]ITEMS_Comm!E94</f>
        <v>PJ</v>
      </c>
      <c r="F68" s="19" t="str">
        <f>[5]ITEMS_Comm!F94</f>
        <v>COM,DEM,ANNUAL,RES</v>
      </c>
    </row>
    <row r="69" spans="1:6">
      <c r="A69" s="27" t="str">
        <f>[5]ITEMS_Comm!A95</f>
        <v>*</v>
      </c>
      <c r="B69" s="19" t="str">
        <f>[5]ITEMS_Comm!B95</f>
        <v>E</v>
      </c>
      <c r="C69" s="27">
        <f>[5]ITEMS_Comm!C95</f>
        <v>0</v>
      </c>
      <c r="D69" s="27" t="str">
        <f>[5]ITEMS_Comm!D95</f>
        <v/>
      </c>
      <c r="E69" s="19" t="str">
        <f>[5]ITEMS_Comm!E95</f>
        <v>PJ</v>
      </c>
      <c r="F69" s="19" t="str">
        <f>[5]ITEMS_Comm!F95</f>
        <v>COM,DEM,ANNUAL,RES</v>
      </c>
    </row>
    <row r="70" spans="1:6">
      <c r="A70" s="27" t="str">
        <f>[5]ITEMS_Comm!A96</f>
        <v>*</v>
      </c>
      <c r="B70" s="19" t="str">
        <f>[5]ITEMS_Comm!B96</f>
        <v>E</v>
      </c>
      <c r="C70" s="27" t="str">
        <f>[5]ITEMS_Comm!C96</f>
        <v>IIST</v>
      </c>
      <c r="D70" s="27" t="str">
        <f>[5]ITEMS_Comm!D96</f>
        <v/>
      </c>
      <c r="E70" s="19" t="str">
        <f>[5]ITEMS_Comm!E96</f>
        <v>PJ</v>
      </c>
      <c r="F70" s="19" t="str">
        <f>[5]ITEMS_Comm!F96</f>
        <v>COM,DEM,ANNUAL,RES</v>
      </c>
    </row>
    <row r="71" spans="1:6">
      <c r="A71" s="27" t="str">
        <f>[5]ITEMS_Comm!A97</f>
        <v>*</v>
      </c>
      <c r="B71" s="19" t="str">
        <f>[5]ITEMS_Comm!B97</f>
        <v>E</v>
      </c>
      <c r="C71" s="27" t="str">
        <f>[5]ITEMS_Comm!C97</f>
        <v>Useful Energy Service</v>
      </c>
      <c r="D71" s="27" t="str">
        <f>[5]ITEMS_Comm!D97</f>
        <v/>
      </c>
      <c r="E71" s="19" t="str">
        <f>[5]ITEMS_Comm!E97</f>
        <v>PJ</v>
      </c>
      <c r="F71" s="19" t="str">
        <f>[5]ITEMS_Comm!F97</f>
        <v>COM,DEM,ANNUAL,RES</v>
      </c>
    </row>
    <row r="72" spans="1:6">
      <c r="A72" s="27" t="str">
        <f>[5]ITEMS_Comm!A98</f>
        <v>*</v>
      </c>
      <c r="B72" s="19" t="str">
        <f>[5]ITEMS_Comm!B98</f>
        <v>E</v>
      </c>
      <c r="C72" s="27">
        <f>[5]ITEMS_Comm!C98</f>
        <v>0</v>
      </c>
      <c r="D72" s="27" t="str">
        <f>[5]ITEMS_Comm!D98</f>
        <v/>
      </c>
      <c r="E72" s="19" t="str">
        <f>[5]ITEMS_Comm!E98</f>
        <v>PJ</v>
      </c>
      <c r="F72" s="19" t="str">
        <f>[5]ITEMS_Comm!F98</f>
        <v>COM,DEM,ANNUAL,RES</v>
      </c>
    </row>
    <row r="73" spans="1:6">
      <c r="A73" s="27" t="str">
        <f>[5]ITEMS_Comm!A99</f>
        <v>*</v>
      </c>
      <c r="B73" s="19" t="str">
        <f>[5]ITEMS_Comm!B99</f>
        <v>E</v>
      </c>
      <c r="C73" s="27">
        <f>[5]ITEMS_Comm!C99</f>
        <v>2</v>
      </c>
      <c r="D73" s="27" t="str">
        <f>[5]ITEMS_Comm!D99</f>
        <v/>
      </c>
      <c r="E73" s="19" t="str">
        <f>[5]ITEMS_Comm!E99</f>
        <v>PJ</v>
      </c>
      <c r="F73" s="19" t="str">
        <f>[5]ITEMS_Comm!F99</f>
        <v>COM,DEM,ANNUAL,RES</v>
      </c>
    </row>
    <row r="74" spans="1:6">
      <c r="A74" s="27" t="str">
        <f>[5]ITEMS_Comm!A100</f>
        <v/>
      </c>
      <c r="B74" s="19" t="str">
        <f>[5]ITEMS_Comm!B100</f>
        <v>E</v>
      </c>
      <c r="C74" s="27" t="str">
        <f>[5]ITEMS_Comm!C100</f>
        <v>ICPK</v>
      </c>
      <c r="D74" s="27" t="str">
        <f>[5]ITEMS_Comm!D100</f>
        <v>Industry-Chemicals-Elec Heating - Electricity</v>
      </c>
      <c r="E74" s="19" t="str">
        <f>[5]ITEMS_Comm!E100</f>
        <v>PJ</v>
      </c>
      <c r="F74" s="19" t="str">
        <f>[5]ITEMS_Comm!F100</f>
        <v>COM,DEM,ANNUAL,RES</v>
      </c>
    </row>
    <row r="75" spans="1:6">
      <c r="A75" s="27" t="str">
        <f>[5]ITEMS_Comm!A101</f>
        <v/>
      </c>
      <c r="B75" s="19" t="str">
        <f>[5]ITEMS_Comm!B101</f>
        <v>E</v>
      </c>
      <c r="C75" s="27" t="str">
        <f>[5]ITEMS_Comm!C101</f>
        <v>ICPA</v>
      </c>
      <c r="D75" s="27" t="str">
        <f>[5]ITEMS_Comm!D101</f>
        <v>Industry-Chemicals-Compressed air - Electricity</v>
      </c>
      <c r="E75" s="19" t="str">
        <f>[5]ITEMS_Comm!E101</f>
        <v>PJ</v>
      </c>
      <c r="F75" s="19" t="str">
        <f>[5]ITEMS_Comm!F101</f>
        <v>COM,DEM,ANNUAL,RES</v>
      </c>
    </row>
    <row r="76" spans="1:6">
      <c r="A76" s="27" t="str">
        <f>[5]ITEMS_Comm!A102</f>
        <v/>
      </c>
      <c r="B76" s="19" t="str">
        <f>[5]ITEMS_Comm!B102</f>
        <v>E</v>
      </c>
      <c r="C76" s="27" t="str">
        <f>[5]ITEMS_Comm!C102</f>
        <v>ICPL</v>
      </c>
      <c r="D76" s="27" t="str">
        <f>[5]ITEMS_Comm!D102</f>
        <v>Industry-Chemicals-Lighting - Electricity</v>
      </c>
      <c r="E76" s="19" t="str">
        <f>[5]ITEMS_Comm!E102</f>
        <v>PJ</v>
      </c>
      <c r="F76" s="19" t="str">
        <f>[5]ITEMS_Comm!F102</f>
        <v>COM,DEM,ANNUAL,RES</v>
      </c>
    </row>
    <row r="77" spans="1:6">
      <c r="A77" s="27" t="str">
        <f>[5]ITEMS_Comm!A103</f>
        <v/>
      </c>
      <c r="B77" s="19" t="str">
        <f>[5]ITEMS_Comm!B103</f>
        <v>E</v>
      </c>
      <c r="C77" s="27" t="str">
        <f>[5]ITEMS_Comm!C103</f>
        <v>ICPC</v>
      </c>
      <c r="D77" s="27" t="str">
        <f>[5]ITEMS_Comm!D103</f>
        <v>Industry-Chemicals-Cooling - Electricity</v>
      </c>
      <c r="E77" s="19" t="str">
        <f>[5]ITEMS_Comm!E103</f>
        <v>PJ</v>
      </c>
      <c r="F77" s="19" t="str">
        <f>[5]ITEMS_Comm!F103</f>
        <v>COM,DEM,ANNUAL,RES</v>
      </c>
    </row>
    <row r="78" spans="1:6">
      <c r="A78" s="27" t="str">
        <f>[5]ITEMS_Comm!A104</f>
        <v/>
      </c>
      <c r="B78" s="19" t="str">
        <f>[5]ITEMS_Comm!B104</f>
        <v>E</v>
      </c>
      <c r="C78" s="27" t="str">
        <f>[5]ITEMS_Comm!C104</f>
        <v>ICPH</v>
      </c>
      <c r="D78" s="27" t="str">
        <f>[5]ITEMS_Comm!D104</f>
        <v>Industry-Chemicals-HVAC - Electricity</v>
      </c>
      <c r="E78" s="19" t="str">
        <f>[5]ITEMS_Comm!E104</f>
        <v>PJ</v>
      </c>
      <c r="F78" s="19" t="str">
        <f>[5]ITEMS_Comm!F104</f>
        <v>COM,DEM,ANNUAL,RES</v>
      </c>
    </row>
    <row r="79" spans="1:6">
      <c r="A79" s="27" t="str">
        <f>[5]ITEMS_Comm!A105</f>
        <v/>
      </c>
      <c r="B79" s="19" t="str">
        <f>[5]ITEMS_Comm!B105</f>
        <v>E</v>
      </c>
      <c r="C79" s="27" t="str">
        <f>[5]ITEMS_Comm!C105</f>
        <v>ICPP</v>
      </c>
      <c r="D79" s="27" t="str">
        <f>[5]ITEMS_Comm!D105</f>
        <v>Industry-Chemicals-Pumping - Electricity</v>
      </c>
      <c r="E79" s="19" t="str">
        <f>[5]ITEMS_Comm!E105</f>
        <v>PJ</v>
      </c>
      <c r="F79" s="19" t="str">
        <f>[5]ITEMS_Comm!F105</f>
        <v>COM,DEM,ANNUAL,RES</v>
      </c>
    </row>
    <row r="80" spans="1:6">
      <c r="A80" s="27" t="str">
        <f>[5]ITEMS_Comm!A106</f>
        <v/>
      </c>
      <c r="B80" s="19" t="str">
        <f>[5]ITEMS_Comm!B106</f>
        <v>E</v>
      </c>
      <c r="C80" s="27" t="str">
        <f>[5]ITEMS_Comm!C106</f>
        <v>ICPF</v>
      </c>
      <c r="D80" s="27" t="str">
        <f>[5]ITEMS_Comm!D106</f>
        <v>Industry-Chemicals-Fans - Electricity</v>
      </c>
      <c r="E80" s="19" t="str">
        <f>[5]ITEMS_Comm!E106</f>
        <v>PJ</v>
      </c>
      <c r="F80" s="19" t="str">
        <f>[5]ITEMS_Comm!F106</f>
        <v>COM,DEM,ANNUAL,RES</v>
      </c>
    </row>
    <row r="81" spans="1:6">
      <c r="A81" s="27" t="str">
        <f>[5]ITEMS_Comm!A107</f>
        <v/>
      </c>
      <c r="B81" s="19" t="str">
        <f>[5]ITEMS_Comm!B107</f>
        <v>E</v>
      </c>
      <c r="C81" s="27" t="str">
        <f>[5]ITEMS_Comm!C107</f>
        <v>ICPO</v>
      </c>
      <c r="D81" s="27" t="str">
        <f>[5]ITEMS_Comm!D107</f>
        <v>Industry-Chemicals-Other motive - Electricity</v>
      </c>
      <c r="E81" s="19" t="str">
        <f>[5]ITEMS_Comm!E107</f>
        <v>PJ</v>
      </c>
      <c r="F81" s="19" t="str">
        <f>[5]ITEMS_Comm!F107</f>
        <v>COM,DEM,ANNUAL,RES</v>
      </c>
    </row>
    <row r="82" spans="1:6">
      <c r="A82" s="27" t="str">
        <f>[5]ITEMS_Comm!A108</f>
        <v/>
      </c>
      <c r="B82" s="19" t="str">
        <f>[5]ITEMS_Comm!B108</f>
        <v>E</v>
      </c>
      <c r="C82" s="27" t="str">
        <f>[5]ITEMS_Comm!C108</f>
        <v>ICPE</v>
      </c>
      <c r="D82" s="27" t="str">
        <f>[5]ITEMS_Comm!D108</f>
        <v>Industry-Chemicals-Electrochemical - Electricity</v>
      </c>
      <c r="E82" s="19" t="str">
        <f>[5]ITEMS_Comm!E108</f>
        <v>PJ</v>
      </c>
      <c r="F82" s="19" t="str">
        <f>[5]ITEMS_Comm!F108</f>
        <v>COM,DEM,ANNUAL,RES</v>
      </c>
    </row>
    <row r="83" spans="1:6">
      <c r="A83" s="27" t="str">
        <f>[5]ITEMS_Comm!A109</f>
        <v>*</v>
      </c>
      <c r="B83" s="19" t="str">
        <f>[5]ITEMS_Comm!B109</f>
        <v>E</v>
      </c>
      <c r="C83" s="27" t="str">
        <f>[5]ITEMS_Comm!C109</f>
        <v xml:space="preserve"> </v>
      </c>
      <c r="D83" s="27" t="str">
        <f>[5]ITEMS_Comm!D109</f>
        <v/>
      </c>
      <c r="E83" s="19" t="str">
        <f>[5]ITEMS_Comm!E109</f>
        <v>PJ</v>
      </c>
      <c r="F83" s="19" t="str">
        <f>[5]ITEMS_Comm!F109</f>
        <v>COM,DEM,ANNUAL,RES</v>
      </c>
    </row>
    <row r="84" spans="1:6">
      <c r="A84" s="27" t="str">
        <f>[5]ITEMS_Comm!A110</f>
        <v/>
      </c>
      <c r="B84" s="19" t="str">
        <f>[5]ITEMS_Comm!B110</f>
        <v>E</v>
      </c>
      <c r="C84" s="27" t="str">
        <f>[5]ITEMS_Comm!C110</f>
        <v>ICPS</v>
      </c>
      <c r="D84" s="27" t="str">
        <f>[5]ITEMS_Comm!D110</f>
        <v>Industry-Chemicals-boiler/process heating - Coal - Existing</v>
      </c>
      <c r="E84" s="19" t="str">
        <f>[5]ITEMS_Comm!E110</f>
        <v>PJ</v>
      </c>
      <c r="F84" s="19" t="str">
        <f>[5]ITEMS_Comm!F110</f>
        <v>COM,DEM,ANNUAL,RES</v>
      </c>
    </row>
    <row r="85" spans="1:6">
      <c r="A85" s="27" t="str">
        <f>[5]ITEMS_Comm!A111</f>
        <v/>
      </c>
      <c r="B85" s="19" t="str">
        <f>[5]ITEMS_Comm!B111</f>
        <v>E</v>
      </c>
      <c r="C85" s="27" t="str">
        <f>[5]ITEMS_Comm!C111</f>
        <v>ICPS</v>
      </c>
      <c r="D85" s="27" t="str">
        <f>[5]ITEMS_Comm!D111</f>
        <v>Industry-Chemicals-boiler/process heating - Gas - Existing</v>
      </c>
      <c r="E85" s="19" t="str">
        <f>[5]ITEMS_Comm!E111</f>
        <v>PJ</v>
      </c>
      <c r="F85" s="19" t="str">
        <f>[5]ITEMS_Comm!F111</f>
        <v>COM,DEM,ANNUAL,RES</v>
      </c>
    </row>
    <row r="86" spans="1:6">
      <c r="A86" s="27" t="str">
        <f>[5]ITEMS_Comm!A112</f>
        <v/>
      </c>
      <c r="B86" s="19" t="str">
        <f>[5]ITEMS_Comm!B112</f>
        <v>E</v>
      </c>
      <c r="C86" s="27" t="str">
        <f>[5]ITEMS_Comm!C112</f>
        <v>ICPS</v>
      </c>
      <c r="D86" s="27" t="str">
        <f>[5]ITEMS_Comm!D112</f>
        <v>Industry-Chemicals-boiler/process heating - Oil HFO - Existing</v>
      </c>
      <c r="E86" s="19" t="str">
        <f>[5]ITEMS_Comm!E112</f>
        <v>PJ</v>
      </c>
      <c r="F86" s="19" t="str">
        <f>[5]ITEMS_Comm!F112</f>
        <v>COM,DEM,ANNUAL,RES</v>
      </c>
    </row>
    <row r="87" spans="1:6">
      <c r="A87" s="27" t="str">
        <f>[5]ITEMS_Comm!A113</f>
        <v/>
      </c>
      <c r="B87" s="19" t="str">
        <f>[5]ITEMS_Comm!B113</f>
        <v>E</v>
      </c>
      <c r="C87" s="27" t="str">
        <f>[5]ITEMS_Comm!C113</f>
        <v>ICPS</v>
      </c>
      <c r="D87" s="27" t="str">
        <f>[5]ITEMS_Comm!D113</f>
        <v>Industry-Chemicals-boiler/process heating - Oil LPG - Existing</v>
      </c>
      <c r="E87" s="19" t="str">
        <f>[5]ITEMS_Comm!E113</f>
        <v>PJ</v>
      </c>
      <c r="F87" s="19" t="str">
        <f>[5]ITEMS_Comm!F113</f>
        <v>COM,DEM,ANNUAL,RES</v>
      </c>
    </row>
    <row r="88" spans="1:6">
      <c r="A88" s="27" t="str">
        <f>[5]ITEMS_Comm!A114</f>
        <v/>
      </c>
      <c r="B88" s="19" t="str">
        <f>[5]ITEMS_Comm!B114</f>
        <v>E</v>
      </c>
      <c r="C88" s="27" t="str">
        <f>[5]ITEMS_Comm!C114</f>
        <v>ICPS</v>
      </c>
      <c r="D88" s="27" t="str">
        <f>[5]ITEMS_Comm!D114</f>
        <v>Industry-Chemicals-boiler/process heating - Electricity - Existing</v>
      </c>
      <c r="E88" s="19" t="str">
        <f>[5]ITEMS_Comm!E114</f>
        <v>PJ</v>
      </c>
      <c r="F88" s="19" t="str">
        <f>[5]ITEMS_Comm!F114</f>
        <v>COM,DEM,ANNUAL,RES</v>
      </c>
    </row>
    <row r="89" spans="1:6">
      <c r="A89" s="27" t="str">
        <f>[5]ITEMS_Comm!A115</f>
        <v/>
      </c>
      <c r="B89" s="19" t="str">
        <f>[5]ITEMS_Comm!B115</f>
        <v>E</v>
      </c>
      <c r="C89" s="27" t="str">
        <f>[5]ITEMS_Comm!C115</f>
        <v>ICPS</v>
      </c>
      <c r="D89" s="27" t="str">
        <f>[5]ITEMS_Comm!D115</f>
        <v>Industry-Chemicals-boiler/process heating - Waste - Existing</v>
      </c>
      <c r="E89" s="19" t="str">
        <f>[5]ITEMS_Comm!E115</f>
        <v>PJ</v>
      </c>
      <c r="F89" s="19" t="str">
        <f>[5]ITEMS_Comm!F115</f>
        <v>COM,DEM,ANNUAL,RES</v>
      </c>
    </row>
    <row r="90" spans="1:6">
      <c r="A90" s="27" t="str">
        <f>[5]ITEMS_Comm!A116</f>
        <v>*</v>
      </c>
      <c r="B90" s="19" t="str">
        <f>[5]ITEMS_Comm!B116</f>
        <v>E</v>
      </c>
      <c r="C90" s="27">
        <f>[5]ITEMS_Comm!C116</f>
        <v>0</v>
      </c>
      <c r="D90" s="27" t="str">
        <f>[5]ITEMS_Comm!D116</f>
        <v/>
      </c>
      <c r="E90" s="19" t="str">
        <f>[5]ITEMS_Comm!E116</f>
        <v>PJ</v>
      </c>
      <c r="F90" s="19" t="str">
        <f>[5]ITEMS_Comm!F116</f>
        <v>COM,DEM,ANNUAL,RES</v>
      </c>
    </row>
    <row r="91" spans="1:6">
      <c r="A91" s="27" t="str">
        <f>[5]ITEMS_Comm!A117</f>
        <v/>
      </c>
      <c r="B91" s="19" t="str">
        <f>[5]ITEMS_Comm!B117</f>
        <v>E</v>
      </c>
      <c r="C91" s="27" t="str">
        <f>[5]ITEMS_Comm!C117</f>
        <v>ICPT</v>
      </c>
      <c r="D91" s="27" t="str">
        <f>[5]ITEMS_Comm!D117</f>
        <v>Industry-Chemicals-Ancillary - Gas - Existing</v>
      </c>
      <c r="E91" s="19" t="str">
        <f>[5]ITEMS_Comm!E117</f>
        <v>PJ</v>
      </c>
      <c r="F91" s="19" t="str">
        <f>[5]ITEMS_Comm!F117</f>
        <v>COM,DEM,ANNUAL,RES</v>
      </c>
    </row>
    <row r="92" spans="1:6">
      <c r="A92" s="27" t="str">
        <f>[5]ITEMS_Comm!A118</f>
        <v>*</v>
      </c>
      <c r="B92" s="19" t="str">
        <f>[5]ITEMS_Comm!B118</f>
        <v>E</v>
      </c>
      <c r="C92" s="27" t="str">
        <f>[5]ITEMS_Comm!C118</f>
        <v>Useful Energy Service</v>
      </c>
      <c r="D92" s="27" t="str">
        <f>[5]ITEMS_Comm!D118</f>
        <v/>
      </c>
      <c r="E92" s="19" t="str">
        <f>[5]ITEMS_Comm!E118</f>
        <v>PJ</v>
      </c>
      <c r="F92" s="19" t="str">
        <f>[5]ITEMS_Comm!F118</f>
        <v>COM,DEM,ANNUAL,RES</v>
      </c>
    </row>
    <row r="93" spans="1:6">
      <c r="A93" s="27" t="str">
        <f>[5]ITEMS_Comm!A119</f>
        <v>*</v>
      </c>
      <c r="B93" s="19" t="str">
        <f>[5]ITEMS_Comm!B119</f>
        <v>E</v>
      </c>
      <c r="C93" s="27">
        <f>[5]ITEMS_Comm!C119</f>
        <v>0</v>
      </c>
      <c r="D93" s="27" t="str">
        <f>[5]ITEMS_Comm!D119</f>
        <v/>
      </c>
      <c r="E93" s="19" t="str">
        <f>[5]ITEMS_Comm!E119</f>
        <v>PJ</v>
      </c>
      <c r="F93" s="19" t="str">
        <f>[5]ITEMS_Comm!F119</f>
        <v>COM,DEM,ANNUAL,RES</v>
      </c>
    </row>
    <row r="94" spans="1:6">
      <c r="A94" s="27" t="str">
        <f>[5]ITEMS_Comm!A120</f>
        <v>*</v>
      </c>
      <c r="B94" s="19" t="str">
        <f>[5]ITEMS_Comm!B120</f>
        <v>E</v>
      </c>
      <c r="C94" s="27">
        <f>[5]ITEMS_Comm!C120</f>
        <v>2</v>
      </c>
      <c r="D94" s="27" t="str">
        <f>[5]ITEMS_Comm!D120</f>
        <v/>
      </c>
      <c r="E94" s="19" t="str">
        <f>[5]ITEMS_Comm!E120</f>
        <v>PJ</v>
      </c>
      <c r="F94" s="19" t="str">
        <f>[5]ITEMS_Comm!F120</f>
        <v>COM,DEM,ANNUAL,RES</v>
      </c>
    </row>
    <row r="95" spans="1:6">
      <c r="A95" s="27" t="str">
        <f>[5]ITEMS_Comm!A121</f>
        <v/>
      </c>
      <c r="B95" s="19" t="str">
        <f>[5]ITEMS_Comm!B121</f>
        <v>E</v>
      </c>
      <c r="C95" s="27" t="str">
        <f>[5]ITEMS_Comm!C121</f>
        <v>INFK</v>
      </c>
      <c r="D95" s="27" t="str">
        <f>[5]ITEMS_Comm!D121</f>
        <v>Industry-Precious &amp; Non-Ferrous metals-Elec Heating - Electricity</v>
      </c>
      <c r="E95" s="19" t="str">
        <f>[5]ITEMS_Comm!E121</f>
        <v>PJ</v>
      </c>
      <c r="F95" s="19" t="str">
        <f>[5]ITEMS_Comm!F121</f>
        <v>COM,DEM,ANNUAL,RES</v>
      </c>
    </row>
    <row r="96" spans="1:6">
      <c r="A96" s="27" t="str">
        <f>[5]ITEMS_Comm!A122</f>
        <v/>
      </c>
      <c r="B96" s="19" t="str">
        <f>[5]ITEMS_Comm!B122</f>
        <v>E</v>
      </c>
      <c r="C96" s="27" t="str">
        <f>[5]ITEMS_Comm!C122</f>
        <v>INFA</v>
      </c>
      <c r="D96" s="27" t="str">
        <f>[5]ITEMS_Comm!D122</f>
        <v>Industry-Precious &amp; Non-Ferrous metals-Compressed air - Electricity</v>
      </c>
      <c r="E96" s="19" t="str">
        <f>[5]ITEMS_Comm!E122</f>
        <v>PJ</v>
      </c>
      <c r="F96" s="19" t="str">
        <f>[5]ITEMS_Comm!F122</f>
        <v>COM,DEM,ANNUAL,RES</v>
      </c>
    </row>
    <row r="97" spans="1:6">
      <c r="A97" s="27" t="str">
        <f>[5]ITEMS_Comm!A123</f>
        <v/>
      </c>
      <c r="B97" s="19" t="str">
        <f>[5]ITEMS_Comm!B123</f>
        <v>E</v>
      </c>
      <c r="C97" s="27" t="str">
        <f>[5]ITEMS_Comm!C123</f>
        <v>INFL</v>
      </c>
      <c r="D97" s="27" t="str">
        <f>[5]ITEMS_Comm!D123</f>
        <v>Industry-Precious &amp; Non-Ferrous metals-Lighting - Electricity</v>
      </c>
      <c r="E97" s="19" t="str">
        <f>[5]ITEMS_Comm!E123</f>
        <v>PJ</v>
      </c>
      <c r="F97" s="19" t="str">
        <f>[5]ITEMS_Comm!F123</f>
        <v>COM,DEM,ANNUAL,RES</v>
      </c>
    </row>
    <row r="98" spans="1:6">
      <c r="A98" s="27" t="str">
        <f>[5]ITEMS_Comm!A124</f>
        <v/>
      </c>
      <c r="B98" s="19" t="str">
        <f>[5]ITEMS_Comm!B124</f>
        <v>E</v>
      </c>
      <c r="C98" s="27" t="str">
        <f>[5]ITEMS_Comm!C124</f>
        <v>INFC</v>
      </c>
      <c r="D98" s="27" t="str">
        <f>[5]ITEMS_Comm!D124</f>
        <v>Industry-Precious &amp; Non-Ferrous metals-Cooling - Electricity</v>
      </c>
      <c r="E98" s="19" t="str">
        <f>[5]ITEMS_Comm!E124</f>
        <v>PJ</v>
      </c>
      <c r="F98" s="19" t="str">
        <f>[5]ITEMS_Comm!F124</f>
        <v>COM,DEM,ANNUAL,RES</v>
      </c>
    </row>
    <row r="99" spans="1:6">
      <c r="A99" s="27" t="str">
        <f>[5]ITEMS_Comm!A125</f>
        <v/>
      </c>
      <c r="B99" s="19" t="str">
        <f>[5]ITEMS_Comm!B125</f>
        <v>E</v>
      </c>
      <c r="C99" s="27" t="str">
        <f>[5]ITEMS_Comm!C125</f>
        <v>INFH</v>
      </c>
      <c r="D99" s="27" t="str">
        <f>[5]ITEMS_Comm!D125</f>
        <v>Industry-Precious &amp; Non-Ferrous metals-HVAC - Electricity</v>
      </c>
      <c r="E99" s="19" t="str">
        <f>[5]ITEMS_Comm!E125</f>
        <v>PJ</v>
      </c>
      <c r="F99" s="19" t="str">
        <f>[5]ITEMS_Comm!F125</f>
        <v>COM,DEM,ANNUAL,RES</v>
      </c>
    </row>
    <row r="100" spans="1:6">
      <c r="A100" s="27" t="str">
        <f>[5]ITEMS_Comm!A126</f>
        <v/>
      </c>
      <c r="B100" s="19" t="str">
        <f>[5]ITEMS_Comm!B126</f>
        <v>E</v>
      </c>
      <c r="C100" s="27" t="str">
        <f>[5]ITEMS_Comm!C126</f>
        <v>INFP</v>
      </c>
      <c r="D100" s="27" t="str">
        <f>[5]ITEMS_Comm!D126</f>
        <v>Industry-Precious &amp; Non-Ferrous metals-Pumping - Electricity</v>
      </c>
      <c r="E100" s="19" t="str">
        <f>[5]ITEMS_Comm!E126</f>
        <v>PJ</v>
      </c>
      <c r="F100" s="19" t="str">
        <f>[5]ITEMS_Comm!F126</f>
        <v>COM,DEM,ANNUAL,RES</v>
      </c>
    </row>
    <row r="101" spans="1:6">
      <c r="A101" s="27" t="str">
        <f>[5]ITEMS_Comm!A127</f>
        <v/>
      </c>
      <c r="B101" s="19" t="str">
        <f>[5]ITEMS_Comm!B127</f>
        <v>E</v>
      </c>
      <c r="C101" s="27" t="str">
        <f>[5]ITEMS_Comm!C127</f>
        <v>INFF</v>
      </c>
      <c r="D101" s="27" t="str">
        <f>[5]ITEMS_Comm!D127</f>
        <v>Industry-Precious &amp; Non-Ferrous metals-Fans - Electricity</v>
      </c>
      <c r="E101" s="19" t="str">
        <f>[5]ITEMS_Comm!E127</f>
        <v>PJ</v>
      </c>
      <c r="F101" s="19" t="str">
        <f>[5]ITEMS_Comm!F127</f>
        <v>COM,DEM,ANNUAL,RES</v>
      </c>
    </row>
    <row r="102" spans="1:6">
      <c r="A102" s="27" t="str">
        <f>[5]ITEMS_Comm!A128</f>
        <v/>
      </c>
      <c r="B102" s="19" t="str">
        <f>[5]ITEMS_Comm!B128</f>
        <v>E</v>
      </c>
      <c r="C102" s="27" t="str">
        <f>[5]ITEMS_Comm!C128</f>
        <v>INFO</v>
      </c>
      <c r="D102" s="27" t="str">
        <f>[5]ITEMS_Comm!D128</f>
        <v>Industry-Precious &amp; Non-Ferrous metals-Other motive - Electricity</v>
      </c>
      <c r="E102" s="19" t="str">
        <f>[5]ITEMS_Comm!E128</f>
        <v>PJ</v>
      </c>
      <c r="F102" s="19" t="str">
        <f>[5]ITEMS_Comm!F128</f>
        <v>COM,DEM,ANNUAL,RES</v>
      </c>
    </row>
    <row r="103" spans="1:6">
      <c r="A103" s="27" t="str">
        <f>[5]ITEMS_Comm!A129</f>
        <v/>
      </c>
      <c r="B103" s="19" t="str">
        <f>[5]ITEMS_Comm!B129</f>
        <v>E</v>
      </c>
      <c r="C103" s="27" t="str">
        <f>[5]ITEMS_Comm!C129</f>
        <v>INFE</v>
      </c>
      <c r="D103" s="27" t="str">
        <f>[5]ITEMS_Comm!D129</f>
        <v>Industry-Precious &amp; Non-Ferrous metals-Electrochemical - Electricity</v>
      </c>
      <c r="E103" s="19" t="str">
        <f>[5]ITEMS_Comm!E129</f>
        <v>PJ</v>
      </c>
      <c r="F103" s="19" t="str">
        <f>[5]ITEMS_Comm!F129</f>
        <v>COM,DEM,ANNUAL,RES</v>
      </c>
    </row>
    <row r="104" spans="1:6">
      <c r="A104" s="27" t="str">
        <f>[5]ITEMS_Comm!A130</f>
        <v>*</v>
      </c>
      <c r="B104" s="19" t="str">
        <f>[5]ITEMS_Comm!B130</f>
        <v>E</v>
      </c>
      <c r="C104" s="27" t="str">
        <f>[5]ITEMS_Comm!C130</f>
        <v xml:space="preserve"> </v>
      </c>
      <c r="D104" s="27" t="str">
        <f>[5]ITEMS_Comm!D130</f>
        <v/>
      </c>
      <c r="E104" s="19" t="str">
        <f>[5]ITEMS_Comm!E130</f>
        <v>PJ</v>
      </c>
      <c r="F104" s="19" t="str">
        <f>[5]ITEMS_Comm!F130</f>
        <v>COM,DEM,ANNUAL,RES</v>
      </c>
    </row>
    <row r="105" spans="1:6">
      <c r="A105" s="27" t="str">
        <f>[5]ITEMS_Comm!A131</f>
        <v/>
      </c>
      <c r="B105" s="19" t="str">
        <f>[5]ITEMS_Comm!B131</f>
        <v>E</v>
      </c>
      <c r="C105" s="27" t="str">
        <f>[5]ITEMS_Comm!C131</f>
        <v>INFS</v>
      </c>
      <c r="D105" s="27" t="str">
        <f>[5]ITEMS_Comm!D131</f>
        <v>Industry-Precious &amp; Non-Ferrous metals-boiler/process heating - Coal - Existing</v>
      </c>
      <c r="E105" s="19" t="str">
        <f>[5]ITEMS_Comm!E131</f>
        <v>PJ</v>
      </c>
      <c r="F105" s="19" t="str">
        <f>[5]ITEMS_Comm!F131</f>
        <v>COM,DEM,ANNUAL,RES</v>
      </c>
    </row>
    <row r="106" spans="1:6">
      <c r="A106" s="27" t="str">
        <f>[5]ITEMS_Comm!A132</f>
        <v/>
      </c>
      <c r="B106" s="19" t="str">
        <f>[5]ITEMS_Comm!B132</f>
        <v>E</v>
      </c>
      <c r="C106" s="27" t="str">
        <f>[5]ITEMS_Comm!C132</f>
        <v>INFS</v>
      </c>
      <c r="D106" s="27" t="str">
        <f>[5]ITEMS_Comm!D132</f>
        <v>Industry-Precious &amp; Non-Ferrous metals-boiler/process heating - Gas - Existing</v>
      </c>
      <c r="E106" s="19" t="str">
        <f>[5]ITEMS_Comm!E132</f>
        <v>PJ</v>
      </c>
      <c r="F106" s="19" t="str">
        <f>[5]ITEMS_Comm!F132</f>
        <v>COM,DEM,ANNUAL,RES</v>
      </c>
    </row>
    <row r="107" spans="1:6">
      <c r="A107" s="27" t="str">
        <f>[5]ITEMS_Comm!A133</f>
        <v/>
      </c>
      <c r="B107" s="19" t="str">
        <f>[5]ITEMS_Comm!B133</f>
        <v>E</v>
      </c>
      <c r="C107" s="27" t="str">
        <f>[5]ITEMS_Comm!C133</f>
        <v>INFS</v>
      </c>
      <c r="D107" s="27" t="str">
        <f>[5]ITEMS_Comm!D133</f>
        <v>Industry-Precious &amp; Non-Ferrous metals-boiler/process heating - Oil HFO - Existing</v>
      </c>
      <c r="E107" s="19" t="str">
        <f>[5]ITEMS_Comm!E133</f>
        <v>PJ</v>
      </c>
      <c r="F107" s="19" t="str">
        <f>[5]ITEMS_Comm!F133</f>
        <v>COM,DEM,ANNUAL,RES</v>
      </c>
    </row>
    <row r="108" spans="1:6">
      <c r="A108" s="27" t="str">
        <f>[5]ITEMS_Comm!A134</f>
        <v/>
      </c>
      <c r="B108" s="19" t="str">
        <f>[5]ITEMS_Comm!B134</f>
        <v>E</v>
      </c>
      <c r="C108" s="27" t="str">
        <f>[5]ITEMS_Comm!C134</f>
        <v>INFS</v>
      </c>
      <c r="D108" s="27" t="str">
        <f>[5]ITEMS_Comm!D134</f>
        <v>Industry-Precious &amp; Non-Ferrous metals-boiler/process heating - Oil LPG - Existing</v>
      </c>
      <c r="E108" s="19" t="str">
        <f>[5]ITEMS_Comm!E134</f>
        <v>PJ</v>
      </c>
      <c r="F108" s="19" t="str">
        <f>[5]ITEMS_Comm!F134</f>
        <v>COM,DEM,ANNUAL,RES</v>
      </c>
    </row>
    <row r="109" spans="1:6">
      <c r="A109" s="27" t="str">
        <f>[5]ITEMS_Comm!A135</f>
        <v/>
      </c>
      <c r="B109" s="19" t="str">
        <f>[5]ITEMS_Comm!B135</f>
        <v>E</v>
      </c>
      <c r="C109" s="27" t="str">
        <f>[5]ITEMS_Comm!C135</f>
        <v>INFS</v>
      </c>
      <c r="D109" s="27" t="str">
        <f>[5]ITEMS_Comm!D135</f>
        <v>Industry-Precious &amp; Non-Ferrous metals-boiler/process heating - Electricity - Existing</v>
      </c>
      <c r="E109" s="19" t="str">
        <f>[5]ITEMS_Comm!E135</f>
        <v>PJ</v>
      </c>
      <c r="F109" s="19" t="str">
        <f>[5]ITEMS_Comm!F135</f>
        <v>COM,DEM,ANNUAL,RES</v>
      </c>
    </row>
    <row r="110" spans="1:6">
      <c r="A110" s="27" t="str">
        <f>[5]ITEMS_Comm!A136</f>
        <v/>
      </c>
      <c r="B110" s="19" t="str">
        <f>[5]ITEMS_Comm!B136</f>
        <v>E</v>
      </c>
      <c r="C110" s="27" t="str">
        <f>[5]ITEMS_Comm!C136</f>
        <v>INFS</v>
      </c>
      <c r="D110" s="27" t="str">
        <f>[5]ITEMS_Comm!D136</f>
        <v>Industry-Precious &amp; Non-Ferrous metals-boiler/process heating - Waste - Existing</v>
      </c>
      <c r="E110" s="19" t="str">
        <f>[5]ITEMS_Comm!E136</f>
        <v>PJ</v>
      </c>
      <c r="F110" s="19" t="str">
        <f>[5]ITEMS_Comm!F136</f>
        <v>COM,DEM,ANNUAL,RES</v>
      </c>
    </row>
    <row r="111" spans="1:6">
      <c r="A111" s="27" t="str">
        <f>[5]ITEMS_Comm!A137</f>
        <v>*</v>
      </c>
      <c r="B111" s="19" t="str">
        <f>[5]ITEMS_Comm!B137</f>
        <v>E</v>
      </c>
      <c r="C111" s="27" t="str">
        <f>[5]ITEMS_Comm!C137</f>
        <v>Useful Energy Service</v>
      </c>
      <c r="D111" s="27" t="str">
        <f>[5]ITEMS_Comm!D137</f>
        <v/>
      </c>
      <c r="E111" s="19" t="str">
        <f>[5]ITEMS_Comm!E137</f>
        <v>PJ</v>
      </c>
      <c r="F111" s="19" t="str">
        <f>[5]ITEMS_Comm!F137</f>
        <v>COM,DEM,ANNUAL,RES</v>
      </c>
    </row>
    <row r="112" spans="1:6">
      <c r="A112" s="27" t="str">
        <f>[5]ITEMS_Comm!A138</f>
        <v>*</v>
      </c>
      <c r="B112" s="19" t="str">
        <f>[5]ITEMS_Comm!B138</f>
        <v>E</v>
      </c>
      <c r="C112" s="27">
        <f>[5]ITEMS_Comm!C138</f>
        <v>0</v>
      </c>
      <c r="D112" s="27" t="str">
        <f>[5]ITEMS_Comm!D138</f>
        <v/>
      </c>
      <c r="E112" s="19" t="str">
        <f>[5]ITEMS_Comm!E138</f>
        <v>PJ</v>
      </c>
      <c r="F112" s="19" t="str">
        <f>[5]ITEMS_Comm!F138</f>
        <v>COM,DEM,ANNUAL,RES</v>
      </c>
    </row>
    <row r="113" spans="1:6">
      <c r="A113" s="27" t="str">
        <f>[5]ITEMS_Comm!A139</f>
        <v>*</v>
      </c>
      <c r="B113" s="19" t="str">
        <f>[5]ITEMS_Comm!B139</f>
        <v>E</v>
      </c>
      <c r="C113" s="27">
        <f>[5]ITEMS_Comm!C139</f>
        <v>2</v>
      </c>
      <c r="D113" s="27" t="str">
        <f>[5]ITEMS_Comm!D139</f>
        <v/>
      </c>
      <c r="E113" s="19" t="str">
        <f>[5]ITEMS_Comm!E139</f>
        <v>PJ</v>
      </c>
      <c r="F113" s="19" t="str">
        <f>[5]ITEMS_Comm!F139</f>
        <v>COM,DEM,ANNUAL,RES</v>
      </c>
    </row>
    <row r="114" spans="1:6">
      <c r="A114" s="27" t="str">
        <f>[5]ITEMS_Comm!A140</f>
        <v>*</v>
      </c>
      <c r="B114" s="19" t="str">
        <f>[5]ITEMS_Comm!B140</f>
        <v>E</v>
      </c>
      <c r="C114" s="27" t="str">
        <f>[5]ITEMS_Comm!C140</f>
        <v>INMK</v>
      </c>
      <c r="D114" s="27" t="str">
        <f>[5]ITEMS_Comm!D140</f>
        <v/>
      </c>
      <c r="E114" s="19" t="str">
        <f>[5]ITEMS_Comm!E140</f>
        <v>PJ</v>
      </c>
      <c r="F114" s="19" t="str">
        <f>[5]ITEMS_Comm!F140</f>
        <v>COM,DEM,ANNUAL,RES</v>
      </c>
    </row>
    <row r="115" spans="1:6">
      <c r="A115" s="27" t="str">
        <f>[5]ITEMS_Comm!A141</f>
        <v>*</v>
      </c>
      <c r="B115" s="19" t="str">
        <f>[5]ITEMS_Comm!B141</f>
        <v>E</v>
      </c>
      <c r="C115" s="27" t="str">
        <f>[5]ITEMS_Comm!C141</f>
        <v>INMA</v>
      </c>
      <c r="D115" s="27" t="str">
        <f>[5]ITEMS_Comm!D141</f>
        <v/>
      </c>
      <c r="E115" s="19" t="str">
        <f>[5]ITEMS_Comm!E141</f>
        <v>PJ</v>
      </c>
      <c r="F115" s="19" t="str">
        <f>[5]ITEMS_Comm!F141</f>
        <v>COM,DEM,ANNUAL,RES</v>
      </c>
    </row>
    <row r="116" spans="1:6">
      <c r="A116" s="27" t="str">
        <f>[5]ITEMS_Comm!A142</f>
        <v>*</v>
      </c>
      <c r="B116" s="19" t="str">
        <f>[5]ITEMS_Comm!B142</f>
        <v>E</v>
      </c>
      <c r="C116" s="27" t="str">
        <f>[5]ITEMS_Comm!C142</f>
        <v>INML</v>
      </c>
      <c r="D116" s="27" t="str">
        <f>[5]ITEMS_Comm!D142</f>
        <v/>
      </c>
      <c r="E116" s="19" t="str">
        <f>[5]ITEMS_Comm!E142</f>
        <v>PJ</v>
      </c>
      <c r="F116" s="19" t="str">
        <f>[5]ITEMS_Comm!F142</f>
        <v>COM,DEM,ANNUAL,RES</v>
      </c>
    </row>
    <row r="117" spans="1:6">
      <c r="A117" s="27" t="str">
        <f>[5]ITEMS_Comm!A143</f>
        <v>*</v>
      </c>
      <c r="B117" s="19" t="str">
        <f>[5]ITEMS_Comm!B143</f>
        <v>E</v>
      </c>
      <c r="C117" s="27" t="str">
        <f>[5]ITEMS_Comm!C143</f>
        <v>INMC</v>
      </c>
      <c r="D117" s="27" t="str">
        <f>[5]ITEMS_Comm!D143</f>
        <v/>
      </c>
      <c r="E117" s="19" t="str">
        <f>[5]ITEMS_Comm!E143</f>
        <v>PJ</v>
      </c>
      <c r="F117" s="19" t="str">
        <f>[5]ITEMS_Comm!F143</f>
        <v>COM,DEM,ANNUAL,RES</v>
      </c>
    </row>
    <row r="118" spans="1:6">
      <c r="A118" s="27" t="str">
        <f>[5]ITEMS_Comm!A144</f>
        <v>*</v>
      </c>
      <c r="B118" s="19" t="str">
        <f>[5]ITEMS_Comm!B144</f>
        <v>E</v>
      </c>
      <c r="C118" s="27" t="str">
        <f>[5]ITEMS_Comm!C144</f>
        <v>INMH</v>
      </c>
      <c r="D118" s="27" t="str">
        <f>[5]ITEMS_Comm!D144</f>
        <v/>
      </c>
      <c r="E118" s="19" t="str">
        <f>[5]ITEMS_Comm!E144</f>
        <v>PJ</v>
      </c>
      <c r="F118" s="19" t="str">
        <f>[5]ITEMS_Comm!F144</f>
        <v>COM,DEM,ANNUAL,RES</v>
      </c>
    </row>
    <row r="119" spans="1:6">
      <c r="A119" s="27" t="str">
        <f>[5]ITEMS_Comm!A145</f>
        <v>*</v>
      </c>
      <c r="B119" s="19" t="str">
        <f>[5]ITEMS_Comm!B145</f>
        <v>E</v>
      </c>
      <c r="C119" s="27" t="str">
        <f>[5]ITEMS_Comm!C145</f>
        <v>INMP</v>
      </c>
      <c r="D119" s="27" t="str">
        <f>[5]ITEMS_Comm!D145</f>
        <v/>
      </c>
      <c r="E119" s="19" t="str">
        <f>[5]ITEMS_Comm!E145</f>
        <v>PJ</v>
      </c>
      <c r="F119" s="19" t="str">
        <f>[5]ITEMS_Comm!F145</f>
        <v>COM,DEM,ANNUAL,RES</v>
      </c>
    </row>
    <row r="120" spans="1:6">
      <c r="A120" s="27" t="str">
        <f>[5]ITEMS_Comm!A146</f>
        <v>*</v>
      </c>
      <c r="B120" s="19" t="str">
        <f>[5]ITEMS_Comm!B146</f>
        <v>E</v>
      </c>
      <c r="C120" s="27" t="str">
        <f>[5]ITEMS_Comm!C146</f>
        <v>INMF</v>
      </c>
      <c r="D120" s="27" t="str">
        <f>[5]ITEMS_Comm!D146</f>
        <v/>
      </c>
      <c r="E120" s="19" t="str">
        <f>[5]ITEMS_Comm!E146</f>
        <v>PJ</v>
      </c>
      <c r="F120" s="19" t="str">
        <f>[5]ITEMS_Comm!F146</f>
        <v>COM,DEM,ANNUAL,RES</v>
      </c>
    </row>
    <row r="121" spans="1:6">
      <c r="A121" s="27" t="str">
        <f>[5]ITEMS_Comm!A147</f>
        <v>*</v>
      </c>
      <c r="B121" s="19" t="str">
        <f>[5]ITEMS_Comm!B147</f>
        <v>E</v>
      </c>
      <c r="C121" s="27" t="str">
        <f>[5]ITEMS_Comm!C147</f>
        <v>INMO</v>
      </c>
      <c r="D121" s="27" t="str">
        <f>[5]ITEMS_Comm!D147</f>
        <v/>
      </c>
      <c r="E121" s="19" t="str">
        <f>[5]ITEMS_Comm!E147</f>
        <v>PJ</v>
      </c>
      <c r="F121" s="19" t="str">
        <f>[5]ITEMS_Comm!F147</f>
        <v>COM,DEM,ANNUAL,RES</v>
      </c>
    </row>
    <row r="122" spans="1:6">
      <c r="A122" s="27" t="str">
        <f>[5]ITEMS_Comm!A148</f>
        <v>*</v>
      </c>
      <c r="B122" s="19" t="str">
        <f>[5]ITEMS_Comm!B148</f>
        <v>E</v>
      </c>
      <c r="C122" s="27" t="str">
        <f>[5]ITEMS_Comm!C148</f>
        <v>INME</v>
      </c>
      <c r="D122" s="27" t="str">
        <f>[5]ITEMS_Comm!D148</f>
        <v/>
      </c>
      <c r="E122" s="19" t="str">
        <f>[5]ITEMS_Comm!E148</f>
        <v>PJ</v>
      </c>
      <c r="F122" s="19" t="str">
        <f>[5]ITEMS_Comm!F148</f>
        <v>COM,DEM,ANNUAL,RES</v>
      </c>
    </row>
    <row r="123" spans="1:6">
      <c r="A123" s="27" t="str">
        <f>[5]ITEMS_Comm!A149</f>
        <v>*</v>
      </c>
      <c r="B123" s="19" t="str">
        <f>[5]ITEMS_Comm!B149</f>
        <v>E</v>
      </c>
      <c r="C123" s="27" t="str">
        <f>[5]ITEMS_Comm!C149</f>
        <v xml:space="preserve"> </v>
      </c>
      <c r="D123" s="27" t="str">
        <f>[5]ITEMS_Comm!D149</f>
        <v/>
      </c>
      <c r="E123" s="19" t="str">
        <f>[5]ITEMS_Comm!E149</f>
        <v>PJ</v>
      </c>
      <c r="F123" s="19" t="str">
        <f>[5]ITEMS_Comm!F149</f>
        <v>COM,DEM,ANNUAL,RES</v>
      </c>
    </row>
    <row r="124" spans="1:6">
      <c r="A124" s="27" t="str">
        <f>[5]ITEMS_Comm!A150</f>
        <v>*</v>
      </c>
      <c r="B124" s="19" t="str">
        <f>[5]ITEMS_Comm!B150</f>
        <v>E</v>
      </c>
      <c r="C124" s="27" t="str">
        <f>[5]ITEMS_Comm!C150</f>
        <v>INMS</v>
      </c>
      <c r="D124" s="27" t="str">
        <f>[5]ITEMS_Comm!D150</f>
        <v/>
      </c>
      <c r="E124" s="19" t="str">
        <f>[5]ITEMS_Comm!E150</f>
        <v>PJ</v>
      </c>
      <c r="F124" s="19" t="str">
        <f>[5]ITEMS_Comm!F150</f>
        <v>COM,DEM,ANNUAL,RES</v>
      </c>
    </row>
    <row r="125" spans="1:6">
      <c r="A125" s="27" t="str">
        <f>[5]ITEMS_Comm!A151</f>
        <v>*</v>
      </c>
      <c r="B125" s="19" t="str">
        <f>[5]ITEMS_Comm!B151</f>
        <v>E</v>
      </c>
      <c r="C125" s="27" t="str">
        <f>[5]ITEMS_Comm!C151</f>
        <v>INMS</v>
      </c>
      <c r="D125" s="27" t="str">
        <f>[5]ITEMS_Comm!D151</f>
        <v/>
      </c>
      <c r="E125" s="19" t="str">
        <f>[5]ITEMS_Comm!E151</f>
        <v>PJ</v>
      </c>
      <c r="F125" s="19" t="str">
        <f>[5]ITEMS_Comm!F151</f>
        <v>COM,DEM,ANNUAL,RES</v>
      </c>
    </row>
    <row r="126" spans="1:6">
      <c r="A126" s="27" t="str">
        <f>[5]ITEMS_Comm!A152</f>
        <v>*</v>
      </c>
      <c r="B126" s="19" t="str">
        <f>[5]ITEMS_Comm!B152</f>
        <v>E</v>
      </c>
      <c r="C126" s="27" t="str">
        <f>[5]ITEMS_Comm!C152</f>
        <v>INMS</v>
      </c>
      <c r="D126" s="27" t="str">
        <f>[5]ITEMS_Comm!D152</f>
        <v/>
      </c>
      <c r="E126" s="19" t="str">
        <f>[5]ITEMS_Comm!E152</f>
        <v>PJ</v>
      </c>
      <c r="F126" s="19" t="str">
        <f>[5]ITEMS_Comm!F152</f>
        <v>COM,DEM,ANNUAL,RES</v>
      </c>
    </row>
    <row r="127" spans="1:6">
      <c r="A127" s="27" t="str">
        <f>[5]ITEMS_Comm!A153</f>
        <v>*</v>
      </c>
      <c r="B127" s="19" t="str">
        <f>[5]ITEMS_Comm!B153</f>
        <v>E</v>
      </c>
      <c r="C127" s="27" t="str">
        <f>[5]ITEMS_Comm!C153</f>
        <v>INMS</v>
      </c>
      <c r="D127" s="27" t="str">
        <f>[5]ITEMS_Comm!D153</f>
        <v/>
      </c>
      <c r="E127" s="19" t="str">
        <f>[5]ITEMS_Comm!E153</f>
        <v>PJ</v>
      </c>
      <c r="F127" s="19" t="str">
        <f>[5]ITEMS_Comm!F153</f>
        <v>COM,DEM,ANNUAL,RES</v>
      </c>
    </row>
    <row r="128" spans="1:6">
      <c r="A128" s="27" t="str">
        <f>[5]ITEMS_Comm!A154</f>
        <v>*</v>
      </c>
      <c r="B128" s="19" t="str">
        <f>[5]ITEMS_Comm!B154</f>
        <v>E</v>
      </c>
      <c r="C128" s="27" t="str">
        <f>[5]ITEMS_Comm!C154</f>
        <v>INMS</v>
      </c>
      <c r="D128" s="27" t="str">
        <f>[5]ITEMS_Comm!D154</f>
        <v/>
      </c>
      <c r="E128" s="19" t="str">
        <f>[5]ITEMS_Comm!E154</f>
        <v>PJ</v>
      </c>
      <c r="F128" s="19" t="str">
        <f>[5]ITEMS_Comm!F154</f>
        <v>COM,DEM,ANNUAL,RES</v>
      </c>
    </row>
    <row r="129" spans="1:6">
      <c r="A129" s="27" t="str">
        <f>[5]ITEMS_Comm!A155</f>
        <v>*</v>
      </c>
      <c r="B129" s="19" t="str">
        <f>[5]ITEMS_Comm!B155</f>
        <v>E</v>
      </c>
      <c r="C129" s="27" t="str">
        <f>[5]ITEMS_Comm!C155</f>
        <v>INMS</v>
      </c>
      <c r="D129" s="27" t="str">
        <f>[5]ITEMS_Comm!D155</f>
        <v/>
      </c>
      <c r="E129" s="19" t="str">
        <f>[5]ITEMS_Comm!E155</f>
        <v>PJ</v>
      </c>
      <c r="F129" s="19" t="str">
        <f>[5]ITEMS_Comm!F155</f>
        <v>COM,DEM,ANNUAL,RES</v>
      </c>
    </row>
    <row r="130" spans="1:6">
      <c r="A130" s="27" t="str">
        <f>[5]ITEMS_Comm!A156</f>
        <v>*</v>
      </c>
      <c r="B130" s="19" t="str">
        <f>[5]ITEMS_Comm!B156</f>
        <v>E</v>
      </c>
      <c r="C130" s="27" t="str">
        <f>[5]ITEMS_Comm!C156</f>
        <v>Useful Energy Service</v>
      </c>
      <c r="D130" s="27" t="str">
        <f>[5]ITEMS_Comm!D156</f>
        <v/>
      </c>
      <c r="E130" s="19" t="str">
        <f>[5]ITEMS_Comm!E156</f>
        <v>PJ</v>
      </c>
      <c r="F130" s="19" t="str">
        <f>[5]ITEMS_Comm!F156</f>
        <v>COM,DEM,ANNUAL,RES</v>
      </c>
    </row>
    <row r="131" spans="1:6">
      <c r="A131" s="27" t="str">
        <f>[5]ITEMS_Comm!A157</f>
        <v>*</v>
      </c>
      <c r="B131" s="19" t="str">
        <f>[5]ITEMS_Comm!B157</f>
        <v>E</v>
      </c>
      <c r="C131" s="27">
        <f>[5]ITEMS_Comm!C157</f>
        <v>0</v>
      </c>
      <c r="D131" s="27" t="str">
        <f>[5]ITEMS_Comm!D157</f>
        <v/>
      </c>
      <c r="E131" s="19" t="str">
        <f>[5]ITEMS_Comm!E157</f>
        <v>PJ</v>
      </c>
      <c r="F131" s="19" t="str">
        <f>[5]ITEMS_Comm!F157</f>
        <v>COM,DEM,ANNUAL,RES</v>
      </c>
    </row>
    <row r="132" spans="1:6">
      <c r="A132" s="27" t="str">
        <f>[5]ITEMS_Comm!A158</f>
        <v>*</v>
      </c>
      <c r="B132" s="19" t="str">
        <f>[5]ITEMS_Comm!B158</f>
        <v>E</v>
      </c>
      <c r="C132" s="27">
        <f>[5]ITEMS_Comm!C158</f>
        <v>2</v>
      </c>
      <c r="D132" s="27" t="str">
        <f>[5]ITEMS_Comm!D158</f>
        <v/>
      </c>
      <c r="E132" s="19" t="str">
        <f>[5]ITEMS_Comm!E158</f>
        <v>PJ</v>
      </c>
      <c r="F132" s="19" t="str">
        <f>[5]ITEMS_Comm!F158</f>
        <v>COM,DEM,ANNUAL,RES</v>
      </c>
    </row>
    <row r="133" spans="1:6">
      <c r="A133" s="27" t="str">
        <f>[5]ITEMS_Comm!A159</f>
        <v/>
      </c>
      <c r="B133" s="19" t="str">
        <f>[5]ITEMS_Comm!B159</f>
        <v>E</v>
      </c>
      <c r="C133" s="27" t="str">
        <f>[5]ITEMS_Comm!C159</f>
        <v>IFBK</v>
      </c>
      <c r="D133" s="27" t="str">
        <f>[5]ITEMS_Comm!D159</f>
        <v>Industry-Food, Beverage &amp; Tabacco-Elec Heating - Electricity</v>
      </c>
      <c r="E133" s="19" t="str">
        <f>[5]ITEMS_Comm!E159</f>
        <v>PJ</v>
      </c>
      <c r="F133" s="19" t="str">
        <f>[5]ITEMS_Comm!F159</f>
        <v>COM,DEM,ANNUAL,RES</v>
      </c>
    </row>
    <row r="134" spans="1:6">
      <c r="A134" s="27" t="str">
        <f>[5]ITEMS_Comm!A160</f>
        <v/>
      </c>
      <c r="B134" s="19" t="str">
        <f>[5]ITEMS_Comm!B160</f>
        <v>E</v>
      </c>
      <c r="C134" s="27" t="str">
        <f>[5]ITEMS_Comm!C160</f>
        <v>IFBA</v>
      </c>
      <c r="D134" s="27" t="str">
        <f>[5]ITEMS_Comm!D160</f>
        <v>Industry-Food, Beverage &amp; Tabacco-Compressed air - Electricity</v>
      </c>
      <c r="E134" s="19" t="str">
        <f>[5]ITEMS_Comm!E160</f>
        <v>PJ</v>
      </c>
      <c r="F134" s="19" t="str">
        <f>[5]ITEMS_Comm!F160</f>
        <v>COM,DEM,ANNUAL,RES</v>
      </c>
    </row>
    <row r="135" spans="1:6">
      <c r="A135" s="27" t="str">
        <f>[5]ITEMS_Comm!A161</f>
        <v/>
      </c>
      <c r="B135" s="19" t="str">
        <f>[5]ITEMS_Comm!B161</f>
        <v>E</v>
      </c>
      <c r="C135" s="27" t="str">
        <f>[5]ITEMS_Comm!C161</f>
        <v>IFBL</v>
      </c>
      <c r="D135" s="27" t="str">
        <f>[5]ITEMS_Comm!D161</f>
        <v>Industry-Food, Beverage &amp; Tabacco-Lighting - Electricity</v>
      </c>
      <c r="E135" s="19" t="str">
        <f>[5]ITEMS_Comm!E161</f>
        <v>PJ</v>
      </c>
      <c r="F135" s="19" t="str">
        <f>[5]ITEMS_Comm!F161</f>
        <v>COM,DEM,ANNUAL,RES</v>
      </c>
    </row>
    <row r="136" spans="1:6">
      <c r="A136" s="27" t="str">
        <f>[5]ITEMS_Comm!A162</f>
        <v/>
      </c>
      <c r="B136" s="19" t="str">
        <f>[5]ITEMS_Comm!B162</f>
        <v>E</v>
      </c>
      <c r="C136" s="27" t="str">
        <f>[5]ITEMS_Comm!C162</f>
        <v>IFBC</v>
      </c>
      <c r="D136" s="27" t="str">
        <f>[5]ITEMS_Comm!D162</f>
        <v>Industry-Food, Beverage &amp; Tabacco-Cooling - Electricity</v>
      </c>
      <c r="E136" s="19" t="str">
        <f>[5]ITEMS_Comm!E162</f>
        <v>PJ</v>
      </c>
      <c r="F136" s="19" t="str">
        <f>[5]ITEMS_Comm!F162</f>
        <v>COM,DEM,ANNUAL,RES</v>
      </c>
    </row>
    <row r="137" spans="1:6">
      <c r="A137" s="27" t="str">
        <f>[5]ITEMS_Comm!A163</f>
        <v/>
      </c>
      <c r="B137" s="19" t="str">
        <f>[5]ITEMS_Comm!B163</f>
        <v>E</v>
      </c>
      <c r="C137" s="27" t="str">
        <f>[5]ITEMS_Comm!C163</f>
        <v>IFBH</v>
      </c>
      <c r="D137" s="27" t="str">
        <f>[5]ITEMS_Comm!D163</f>
        <v>Industry-Food, Beverage &amp; Tabacco-HVAC - Electricity</v>
      </c>
      <c r="E137" s="19" t="str">
        <f>[5]ITEMS_Comm!E163</f>
        <v>PJ</v>
      </c>
      <c r="F137" s="19" t="str">
        <f>[5]ITEMS_Comm!F163</f>
        <v>COM,DEM,ANNUAL,RES</v>
      </c>
    </row>
    <row r="138" spans="1:6">
      <c r="A138" s="27" t="str">
        <f>[5]ITEMS_Comm!A164</f>
        <v/>
      </c>
      <c r="B138" s="19" t="str">
        <f>[5]ITEMS_Comm!B164</f>
        <v>E</v>
      </c>
      <c r="C138" s="27" t="str">
        <f>[5]ITEMS_Comm!C164</f>
        <v>IFBP</v>
      </c>
      <c r="D138" s="27" t="str">
        <f>[5]ITEMS_Comm!D164</f>
        <v>Industry-Food, Beverage &amp; Tabacco-Pumping - Electricity</v>
      </c>
      <c r="E138" s="19" t="str">
        <f>[5]ITEMS_Comm!E164</f>
        <v>PJ</v>
      </c>
      <c r="F138" s="19" t="str">
        <f>[5]ITEMS_Comm!F164</f>
        <v>COM,DEM,ANNUAL,RES</v>
      </c>
    </row>
    <row r="139" spans="1:6">
      <c r="A139" s="27" t="str">
        <f>[5]ITEMS_Comm!A165</f>
        <v/>
      </c>
      <c r="B139" s="19" t="str">
        <f>[5]ITEMS_Comm!B165</f>
        <v>E</v>
      </c>
      <c r="C139" s="27" t="str">
        <f>[5]ITEMS_Comm!C165</f>
        <v>IFBF</v>
      </c>
      <c r="D139" s="27" t="str">
        <f>[5]ITEMS_Comm!D165</f>
        <v>Industry-Food, Beverage &amp; Tabacco-Fans - Electricity</v>
      </c>
      <c r="E139" s="19" t="str">
        <f>[5]ITEMS_Comm!E165</f>
        <v>PJ</v>
      </c>
      <c r="F139" s="19" t="str">
        <f>[5]ITEMS_Comm!F165</f>
        <v>COM,DEM,ANNUAL,RES</v>
      </c>
    </row>
    <row r="140" spans="1:6">
      <c r="A140" s="27" t="str">
        <f>[5]ITEMS_Comm!A166</f>
        <v/>
      </c>
      <c r="B140" s="19" t="str">
        <f>[5]ITEMS_Comm!B166</f>
        <v>E</v>
      </c>
      <c r="C140" s="27" t="str">
        <f>[5]ITEMS_Comm!C166</f>
        <v>IFBO</v>
      </c>
      <c r="D140" s="27" t="str">
        <f>[5]ITEMS_Comm!D166</f>
        <v>Industry-Food, Beverage &amp; Tabacco-Other motive - Electricity</v>
      </c>
      <c r="E140" s="19" t="str">
        <f>[5]ITEMS_Comm!E166</f>
        <v>PJ</v>
      </c>
      <c r="F140" s="19" t="str">
        <f>[5]ITEMS_Comm!F166</f>
        <v>COM,DEM,ANNUAL,RES</v>
      </c>
    </row>
    <row r="141" spans="1:6">
      <c r="A141" s="27" t="str">
        <f>[5]ITEMS_Comm!A167</f>
        <v/>
      </c>
      <c r="B141" s="19" t="str">
        <f>[5]ITEMS_Comm!B167</f>
        <v>E</v>
      </c>
      <c r="C141" s="27" t="str">
        <f>[5]ITEMS_Comm!C167</f>
        <v>IFBE</v>
      </c>
      <c r="D141" s="27" t="str">
        <f>[5]ITEMS_Comm!D167</f>
        <v>Industry-Food, Beverage &amp; Tabacco-Electrochemical - Electricity</v>
      </c>
      <c r="E141" s="19" t="str">
        <f>[5]ITEMS_Comm!E167</f>
        <v>PJ</v>
      </c>
      <c r="F141" s="19" t="str">
        <f>[5]ITEMS_Comm!F167</f>
        <v>COM,DEM,ANNUAL,RES</v>
      </c>
    </row>
    <row r="142" spans="1:6">
      <c r="A142" s="27" t="str">
        <f>[5]ITEMS_Comm!A168</f>
        <v>*</v>
      </c>
      <c r="B142" s="19" t="str">
        <f>[5]ITEMS_Comm!B168</f>
        <v>E</v>
      </c>
      <c r="C142" s="27" t="str">
        <f>[5]ITEMS_Comm!C168</f>
        <v xml:space="preserve"> </v>
      </c>
      <c r="D142" s="27" t="str">
        <f>[5]ITEMS_Comm!D168</f>
        <v/>
      </c>
      <c r="E142" s="19" t="str">
        <f>[5]ITEMS_Comm!E168</f>
        <v>PJ</v>
      </c>
      <c r="F142" s="19" t="str">
        <f>[5]ITEMS_Comm!F168</f>
        <v>COM,DEM,ANNUAL,RES</v>
      </c>
    </row>
    <row r="143" spans="1:6">
      <c r="A143" s="27" t="str">
        <f>[5]ITEMS_Comm!A169</f>
        <v/>
      </c>
      <c r="B143" s="19" t="str">
        <f>[5]ITEMS_Comm!B169</f>
        <v>E</v>
      </c>
      <c r="C143" s="27" t="str">
        <f>[5]ITEMS_Comm!C169</f>
        <v>IFBS</v>
      </c>
      <c r="D143" s="27" t="str">
        <f>[5]ITEMS_Comm!D169</f>
        <v>Industry-Food, Beverage &amp; Tabacco-boiler/process heating - Coal - Existing</v>
      </c>
      <c r="E143" s="19" t="str">
        <f>[5]ITEMS_Comm!E169</f>
        <v>PJ</v>
      </c>
      <c r="F143" s="19" t="str">
        <f>[5]ITEMS_Comm!F169</f>
        <v>COM,DEM,ANNUAL,RES</v>
      </c>
    </row>
    <row r="144" spans="1:6">
      <c r="A144" s="27" t="str">
        <f>[5]ITEMS_Comm!A170</f>
        <v/>
      </c>
      <c r="B144" s="19" t="str">
        <f>[5]ITEMS_Comm!B170</f>
        <v>E</v>
      </c>
      <c r="C144" s="27" t="str">
        <f>[5]ITEMS_Comm!C170</f>
        <v>IFBS</v>
      </c>
      <c r="D144" s="27" t="str">
        <f>[5]ITEMS_Comm!D170</f>
        <v>Industry-Food, Beverage &amp; Tabacco-boiler/process heating - Gas - Existing</v>
      </c>
      <c r="E144" s="19" t="str">
        <f>[5]ITEMS_Comm!E170</f>
        <v>PJ</v>
      </c>
      <c r="F144" s="19" t="str">
        <f>[5]ITEMS_Comm!F170</f>
        <v>COM,DEM,ANNUAL,RES</v>
      </c>
    </row>
    <row r="145" spans="1:6">
      <c r="A145" s="27" t="str">
        <f>[5]ITEMS_Comm!A171</f>
        <v/>
      </c>
      <c r="B145" s="19" t="str">
        <f>[5]ITEMS_Comm!B171</f>
        <v>E</v>
      </c>
      <c r="C145" s="27" t="str">
        <f>[5]ITEMS_Comm!C171</f>
        <v>IFBS</v>
      </c>
      <c r="D145" s="27" t="str">
        <f>[5]ITEMS_Comm!D171</f>
        <v>Industry-Food, Beverage &amp; Tabacco-boiler/process heating - Oil HFO - Existing</v>
      </c>
      <c r="E145" s="19" t="str">
        <f>[5]ITEMS_Comm!E171</f>
        <v>PJ</v>
      </c>
      <c r="F145" s="19" t="str">
        <f>[5]ITEMS_Comm!F171</f>
        <v>COM,DEM,ANNUAL,RES</v>
      </c>
    </row>
    <row r="146" spans="1:6">
      <c r="A146" s="27" t="str">
        <f>[5]ITEMS_Comm!A172</f>
        <v/>
      </c>
      <c r="B146" s="19" t="str">
        <f>[5]ITEMS_Comm!B172</f>
        <v>E</v>
      </c>
      <c r="C146" s="27" t="str">
        <f>[5]ITEMS_Comm!C172</f>
        <v>IFBS</v>
      </c>
      <c r="D146" s="27" t="str">
        <f>[5]ITEMS_Comm!D172</f>
        <v>Industry-Food, Beverage &amp; Tabacco-boiler/process heating - Oil LPG - Existing</v>
      </c>
      <c r="E146" s="19" t="str">
        <f>[5]ITEMS_Comm!E172</f>
        <v>PJ</v>
      </c>
      <c r="F146" s="19" t="str">
        <f>[5]ITEMS_Comm!F172</f>
        <v>COM,DEM,ANNUAL,RES</v>
      </c>
    </row>
    <row r="147" spans="1:6">
      <c r="A147" s="27" t="str">
        <f>[5]ITEMS_Comm!A173</f>
        <v/>
      </c>
      <c r="B147" s="19" t="str">
        <f>[5]ITEMS_Comm!B173</f>
        <v>E</v>
      </c>
      <c r="C147" s="27" t="str">
        <f>[5]ITEMS_Comm!C173</f>
        <v>IFBS</v>
      </c>
      <c r="D147" s="27" t="str">
        <f>[5]ITEMS_Comm!D173</f>
        <v>Industry-Food, Beverage &amp; Tabacco-boiler/process heating - Electricity - Existing</v>
      </c>
      <c r="E147" s="19" t="str">
        <f>[5]ITEMS_Comm!E173</f>
        <v>PJ</v>
      </c>
      <c r="F147" s="19" t="str">
        <f>[5]ITEMS_Comm!F173</f>
        <v>COM,DEM,ANNUAL,RES</v>
      </c>
    </row>
    <row r="148" spans="1:6">
      <c r="A148" s="27" t="str">
        <f>[5]ITEMS_Comm!A174</f>
        <v/>
      </c>
      <c r="B148" s="19" t="str">
        <f>[5]ITEMS_Comm!B174</f>
        <v>E</v>
      </c>
      <c r="C148" s="27" t="str">
        <f>[5]ITEMS_Comm!C174</f>
        <v>IFBS</v>
      </c>
      <c r="D148" s="27" t="str">
        <f>[5]ITEMS_Comm!D174</f>
        <v>Industry-Food, Beverage &amp; Tabacco-boiler/process heating - Biomass bagasse - Existing</v>
      </c>
      <c r="E148" s="19" t="str">
        <f>[5]ITEMS_Comm!E174</f>
        <v>PJ</v>
      </c>
      <c r="F148" s="19" t="str">
        <f>[5]ITEMS_Comm!F174</f>
        <v>COM,DEM,ANNUAL,RES</v>
      </c>
    </row>
    <row r="149" spans="1:6">
      <c r="A149" s="27" t="str">
        <f>[5]ITEMS_Comm!A175</f>
        <v/>
      </c>
      <c r="B149" s="19" t="str">
        <f>[5]ITEMS_Comm!B175</f>
        <v>E</v>
      </c>
      <c r="C149" s="27" t="str">
        <f>[5]ITEMS_Comm!C175</f>
        <v>IFBS</v>
      </c>
      <c r="D149" s="27" t="str">
        <f>[5]ITEMS_Comm!D175</f>
        <v>Industry-Food, Beverage &amp; Tabacco-boiler/process heating - Waste - Existing</v>
      </c>
      <c r="E149" s="19" t="str">
        <f>[5]ITEMS_Comm!E175</f>
        <v>PJ</v>
      </c>
      <c r="F149" s="19" t="str">
        <f>[5]ITEMS_Comm!F175</f>
        <v>COM,DEM,ANNUAL,RES</v>
      </c>
    </row>
    <row r="150" spans="1:6">
      <c r="A150" s="27" t="str">
        <f>[5]ITEMS_Comm!A176</f>
        <v>*</v>
      </c>
      <c r="B150" s="19" t="str">
        <f>[5]ITEMS_Comm!B176</f>
        <v>E</v>
      </c>
      <c r="C150" s="27" t="str">
        <f>[5]ITEMS_Comm!C176</f>
        <v>Useful Energy Service</v>
      </c>
      <c r="D150" s="27" t="str">
        <f>[5]ITEMS_Comm!D176</f>
        <v/>
      </c>
      <c r="E150" s="19" t="str">
        <f>[5]ITEMS_Comm!E176</f>
        <v>PJ</v>
      </c>
      <c r="F150" s="19" t="str">
        <f>[5]ITEMS_Comm!F176</f>
        <v>COM,DEM,ANNUAL,RES</v>
      </c>
    </row>
    <row r="151" spans="1:6">
      <c r="A151" s="27" t="str">
        <f>[5]ITEMS_Comm!A177</f>
        <v>*</v>
      </c>
      <c r="B151" s="19" t="str">
        <f>[5]ITEMS_Comm!B177</f>
        <v>E</v>
      </c>
      <c r="C151" s="27">
        <f>[5]ITEMS_Comm!C177</f>
        <v>0</v>
      </c>
      <c r="D151" s="27" t="str">
        <f>[5]ITEMS_Comm!D177</f>
        <v/>
      </c>
      <c r="E151" s="19" t="str">
        <f>[5]ITEMS_Comm!E177</f>
        <v>PJ</v>
      </c>
      <c r="F151" s="19" t="str">
        <f>[5]ITEMS_Comm!F177</f>
        <v>COM,DEM,ANNUAL,RES</v>
      </c>
    </row>
    <row r="152" spans="1:6">
      <c r="A152" s="27" t="str">
        <f>[5]ITEMS_Comm!A178</f>
        <v>*</v>
      </c>
      <c r="B152" s="19" t="str">
        <f>[5]ITEMS_Comm!B178</f>
        <v>E</v>
      </c>
      <c r="C152" s="27">
        <f>[5]ITEMS_Comm!C178</f>
        <v>2</v>
      </c>
      <c r="D152" s="27" t="str">
        <f>[5]ITEMS_Comm!D178</f>
        <v/>
      </c>
      <c r="E152" s="19" t="str">
        <f>[5]ITEMS_Comm!E178</f>
        <v>PJ</v>
      </c>
      <c r="F152" s="19" t="str">
        <f>[5]ITEMS_Comm!F178</f>
        <v>COM,DEM,ANNUAL,RES</v>
      </c>
    </row>
    <row r="153" spans="1:6">
      <c r="A153" s="27" t="str">
        <f>[5]ITEMS_Comm!A179</f>
        <v>*</v>
      </c>
      <c r="B153" s="19" t="str">
        <f>[5]ITEMS_Comm!B179</f>
        <v>E</v>
      </c>
      <c r="C153" s="27" t="str">
        <f>[5]ITEMS_Comm!C179</f>
        <v>IPPK</v>
      </c>
      <c r="D153" s="27" t="str">
        <f>[5]ITEMS_Comm!D179</f>
        <v/>
      </c>
      <c r="E153" s="19" t="str">
        <f>[5]ITEMS_Comm!E179</f>
        <v>PJ</v>
      </c>
      <c r="F153" s="19" t="str">
        <f>[5]ITEMS_Comm!F179</f>
        <v>COM,DEM,ANNUAL,RES</v>
      </c>
    </row>
    <row r="154" spans="1:6">
      <c r="A154" s="27" t="str">
        <f>[5]ITEMS_Comm!A180</f>
        <v>*</v>
      </c>
      <c r="B154" s="19" t="str">
        <f>[5]ITEMS_Comm!B180</f>
        <v>E</v>
      </c>
      <c r="C154" s="27" t="str">
        <f>[5]ITEMS_Comm!C180</f>
        <v>IPPA</v>
      </c>
      <c r="D154" s="27" t="str">
        <f>[5]ITEMS_Comm!D180</f>
        <v/>
      </c>
      <c r="E154" s="19" t="str">
        <f>[5]ITEMS_Comm!E180</f>
        <v>PJ</v>
      </c>
      <c r="F154" s="19" t="str">
        <f>[5]ITEMS_Comm!F180</f>
        <v>COM,DEM,ANNUAL,RES</v>
      </c>
    </row>
    <row r="155" spans="1:6">
      <c r="A155" s="27" t="str">
        <f>[5]ITEMS_Comm!A181</f>
        <v>*</v>
      </c>
      <c r="B155" s="19" t="str">
        <f>[5]ITEMS_Comm!B181</f>
        <v>E</v>
      </c>
      <c r="C155" s="27" t="str">
        <f>[5]ITEMS_Comm!C181</f>
        <v>IPPL</v>
      </c>
      <c r="D155" s="27" t="str">
        <f>[5]ITEMS_Comm!D181</f>
        <v/>
      </c>
      <c r="E155" s="19" t="str">
        <f>[5]ITEMS_Comm!E181</f>
        <v>PJ</v>
      </c>
      <c r="F155" s="19" t="str">
        <f>[5]ITEMS_Comm!F181</f>
        <v>COM,DEM,ANNUAL,RES</v>
      </c>
    </row>
    <row r="156" spans="1:6">
      <c r="A156" s="27" t="str">
        <f>[5]ITEMS_Comm!A182</f>
        <v>*</v>
      </c>
      <c r="B156" s="19" t="str">
        <f>[5]ITEMS_Comm!B182</f>
        <v>E</v>
      </c>
      <c r="C156" s="27" t="str">
        <f>[5]ITEMS_Comm!C182</f>
        <v>IPPC</v>
      </c>
      <c r="D156" s="27" t="str">
        <f>[5]ITEMS_Comm!D182</f>
        <v/>
      </c>
      <c r="E156" s="19" t="str">
        <f>[5]ITEMS_Comm!E182</f>
        <v>PJ</v>
      </c>
      <c r="F156" s="19" t="str">
        <f>[5]ITEMS_Comm!F182</f>
        <v>COM,DEM,ANNUAL,RES</v>
      </c>
    </row>
    <row r="157" spans="1:6">
      <c r="A157" s="27" t="str">
        <f>[5]ITEMS_Comm!A183</f>
        <v>*</v>
      </c>
      <c r="B157" s="19" t="str">
        <f>[5]ITEMS_Comm!B183</f>
        <v>E</v>
      </c>
      <c r="C157" s="27" t="str">
        <f>[5]ITEMS_Comm!C183</f>
        <v>IPPH</v>
      </c>
      <c r="D157" s="27" t="str">
        <f>[5]ITEMS_Comm!D183</f>
        <v/>
      </c>
      <c r="E157" s="19" t="str">
        <f>[5]ITEMS_Comm!E183</f>
        <v>PJ</v>
      </c>
      <c r="F157" s="19" t="str">
        <f>[5]ITEMS_Comm!F183</f>
        <v>COM,DEM,ANNUAL,RES</v>
      </c>
    </row>
    <row r="158" spans="1:6">
      <c r="A158" s="27" t="str">
        <f>[5]ITEMS_Comm!A184</f>
        <v>*</v>
      </c>
      <c r="B158" s="19" t="str">
        <f>[5]ITEMS_Comm!B184</f>
        <v>E</v>
      </c>
      <c r="C158" s="27" t="str">
        <f>[5]ITEMS_Comm!C184</f>
        <v>IPPP</v>
      </c>
      <c r="D158" s="27" t="str">
        <f>[5]ITEMS_Comm!D184</f>
        <v/>
      </c>
      <c r="E158" s="19" t="str">
        <f>[5]ITEMS_Comm!E184</f>
        <v>PJ</v>
      </c>
      <c r="F158" s="19" t="str">
        <f>[5]ITEMS_Comm!F184</f>
        <v>COM,DEM,ANNUAL,RES</v>
      </c>
    </row>
    <row r="159" spans="1:6">
      <c r="A159" s="27" t="str">
        <f>[5]ITEMS_Comm!A185</f>
        <v>*</v>
      </c>
      <c r="B159" s="19" t="str">
        <f>[5]ITEMS_Comm!B185</f>
        <v>E</v>
      </c>
      <c r="C159" s="27" t="str">
        <f>[5]ITEMS_Comm!C185</f>
        <v>IPPF</v>
      </c>
      <c r="D159" s="27" t="str">
        <f>[5]ITEMS_Comm!D185</f>
        <v/>
      </c>
      <c r="E159" s="19" t="str">
        <f>[5]ITEMS_Comm!E185</f>
        <v>PJ</v>
      </c>
      <c r="F159" s="19" t="str">
        <f>[5]ITEMS_Comm!F185</f>
        <v>COM,DEM,ANNUAL,RES</v>
      </c>
    </row>
    <row r="160" spans="1:6">
      <c r="A160" s="27" t="str">
        <f>[5]ITEMS_Comm!A186</f>
        <v>*</v>
      </c>
      <c r="B160" s="19" t="str">
        <f>[5]ITEMS_Comm!B186</f>
        <v>E</v>
      </c>
      <c r="C160" s="27" t="str">
        <f>[5]ITEMS_Comm!C186</f>
        <v>IPPO</v>
      </c>
      <c r="D160" s="27" t="str">
        <f>[5]ITEMS_Comm!D186</f>
        <v/>
      </c>
      <c r="E160" s="19" t="str">
        <f>[5]ITEMS_Comm!E186</f>
        <v>PJ</v>
      </c>
      <c r="F160" s="19" t="str">
        <f>[5]ITEMS_Comm!F186</f>
        <v>COM,DEM,ANNUAL,RES</v>
      </c>
    </row>
    <row r="161" spans="1:6">
      <c r="A161" s="27" t="str">
        <f>[5]ITEMS_Comm!A187</f>
        <v>*</v>
      </c>
      <c r="B161" s="19" t="str">
        <f>[5]ITEMS_Comm!B187</f>
        <v>E</v>
      </c>
      <c r="C161" s="27" t="str">
        <f>[5]ITEMS_Comm!C187</f>
        <v>IPPE</v>
      </c>
      <c r="D161" s="27" t="str">
        <f>[5]ITEMS_Comm!D187</f>
        <v/>
      </c>
      <c r="E161" s="19" t="str">
        <f>[5]ITEMS_Comm!E187</f>
        <v>PJ</v>
      </c>
      <c r="F161" s="19" t="str">
        <f>[5]ITEMS_Comm!F187</f>
        <v>COM,DEM,ANNUAL,RES</v>
      </c>
    </row>
    <row r="162" spans="1:6">
      <c r="A162" s="27" t="str">
        <f>[5]ITEMS_Comm!A188</f>
        <v>*</v>
      </c>
      <c r="B162" s="19" t="str">
        <f>[5]ITEMS_Comm!B188</f>
        <v>E</v>
      </c>
      <c r="C162" s="27" t="str">
        <f>[5]ITEMS_Comm!C188</f>
        <v xml:space="preserve"> </v>
      </c>
      <c r="D162" s="27" t="str">
        <f>[5]ITEMS_Comm!D188</f>
        <v/>
      </c>
      <c r="E162" s="19" t="str">
        <f>[5]ITEMS_Comm!E188</f>
        <v>PJ</v>
      </c>
      <c r="F162" s="19" t="str">
        <f>[5]ITEMS_Comm!F188</f>
        <v>COM,DEM,ANNUAL,RES</v>
      </c>
    </row>
    <row r="163" spans="1:6">
      <c r="A163" s="27" t="str">
        <f>[5]ITEMS_Comm!A189</f>
        <v>*</v>
      </c>
      <c r="B163" s="19" t="str">
        <f>[5]ITEMS_Comm!B189</f>
        <v>E</v>
      </c>
      <c r="C163" s="27" t="str">
        <f>[5]ITEMS_Comm!C189</f>
        <v>IPPS</v>
      </c>
      <c r="D163" s="27" t="str">
        <f>[5]ITEMS_Comm!D189</f>
        <v/>
      </c>
      <c r="E163" s="19" t="str">
        <f>[5]ITEMS_Comm!E189</f>
        <v>PJ</v>
      </c>
      <c r="F163" s="19" t="str">
        <f>[5]ITEMS_Comm!F189</f>
        <v>COM,DEM,ANNUAL,RES</v>
      </c>
    </row>
    <row r="164" spans="1:6">
      <c r="A164" s="27" t="str">
        <f>[5]ITEMS_Comm!A190</f>
        <v>*</v>
      </c>
      <c r="B164" s="19" t="str">
        <f>[5]ITEMS_Comm!B190</f>
        <v>E</v>
      </c>
      <c r="C164" s="27" t="str">
        <f>[5]ITEMS_Comm!C190</f>
        <v>IPPS</v>
      </c>
      <c r="D164" s="27" t="str">
        <f>[5]ITEMS_Comm!D190</f>
        <v/>
      </c>
      <c r="E164" s="19" t="str">
        <f>[5]ITEMS_Comm!E190</f>
        <v>PJ</v>
      </c>
      <c r="F164" s="19" t="str">
        <f>[5]ITEMS_Comm!F190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O28" sqref="O28:R28"/>
    </sheetView>
  </sheetViews>
  <sheetFormatPr defaultColWidth="8.85546875" defaultRowHeight="15"/>
  <cols>
    <col min="1" max="1" width="8.85546875" style="225"/>
    <col min="2" max="2" width="11.85546875" style="225" customWidth="1"/>
    <col min="3" max="3" width="34.85546875" style="225" customWidth="1"/>
    <col min="4" max="4" width="8.85546875" style="225"/>
    <col min="5" max="5" width="6.42578125" style="225" customWidth="1"/>
    <col min="6" max="6" width="9.7109375" style="225" customWidth="1"/>
    <col min="7" max="8" width="6.42578125" style="225" customWidth="1"/>
    <col min="9" max="9" width="9.140625" style="225" customWidth="1"/>
    <col min="10" max="10" width="8.85546875" style="5" customWidth="1"/>
    <col min="11" max="11" width="8.42578125" style="225" customWidth="1"/>
    <col min="12" max="29" width="6.42578125" style="225" customWidth="1"/>
    <col min="30" max="46" width="6.140625" style="225" customWidth="1"/>
    <col min="47" max="47" width="10.42578125" style="225" customWidth="1"/>
    <col min="48" max="48" width="6.140625" style="225" customWidth="1"/>
    <col min="49" max="16384" width="8.85546875" style="225"/>
  </cols>
  <sheetData>
    <row r="1" spans="1:48">
      <c r="A1" s="225" t="s">
        <v>643</v>
      </c>
      <c r="B1" s="225" t="s">
        <v>17</v>
      </c>
      <c r="G1" s="225" t="s">
        <v>283</v>
      </c>
    </row>
    <row r="2" spans="1:48" ht="15.75" thickBot="1">
      <c r="A2" s="225" t="s">
        <v>16</v>
      </c>
      <c r="B2" s="304" t="s">
        <v>197</v>
      </c>
      <c r="C2" s="304"/>
      <c r="G2" s="225" t="s">
        <v>282</v>
      </c>
      <c r="H2" s="225">
        <v>1</v>
      </c>
    </row>
    <row r="3" spans="1:48">
      <c r="A3" s="225" t="s">
        <v>16</v>
      </c>
      <c r="G3" s="225" t="s">
        <v>284</v>
      </c>
      <c r="H3" s="22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225" t="s">
        <v>16</v>
      </c>
      <c r="D4" s="225">
        <v>2012</v>
      </c>
      <c r="E4" s="225">
        <v>2020</v>
      </c>
      <c r="F4" s="225">
        <v>2030</v>
      </c>
      <c r="G4" s="225">
        <v>2050</v>
      </c>
      <c r="H4" s="225">
        <v>1</v>
      </c>
      <c r="I4" s="225" t="s">
        <v>393</v>
      </c>
      <c r="J4" s="225">
        <f>MATCH(J$3,$D$4:$G$4,$H4)</f>
        <v>1</v>
      </c>
      <c r="K4" s="225">
        <f t="shared" ref="K4:AP5" si="0">MATCH(K$3,$D$4:$G$4,$H4)</f>
        <v>1</v>
      </c>
      <c r="L4" s="225">
        <f t="shared" si="0"/>
        <v>1</v>
      </c>
      <c r="M4" s="225">
        <f t="shared" si="0"/>
        <v>1</v>
      </c>
      <c r="N4" s="225">
        <f t="shared" si="0"/>
        <v>1</v>
      </c>
      <c r="O4" s="225">
        <f t="shared" si="0"/>
        <v>1</v>
      </c>
      <c r="P4" s="225">
        <f t="shared" si="0"/>
        <v>1</v>
      </c>
      <c r="Q4" s="225">
        <f t="shared" si="0"/>
        <v>1</v>
      </c>
      <c r="R4" s="225">
        <f t="shared" si="0"/>
        <v>2</v>
      </c>
      <c r="S4" s="225">
        <f t="shared" si="0"/>
        <v>2</v>
      </c>
      <c r="T4" s="225">
        <f t="shared" si="0"/>
        <v>2</v>
      </c>
      <c r="U4" s="225">
        <f t="shared" si="0"/>
        <v>2</v>
      </c>
      <c r="V4" s="225">
        <f t="shared" si="0"/>
        <v>2</v>
      </c>
      <c r="W4" s="225">
        <f t="shared" si="0"/>
        <v>2</v>
      </c>
      <c r="X4" s="225">
        <f t="shared" si="0"/>
        <v>2</v>
      </c>
      <c r="Y4" s="225">
        <f t="shared" si="0"/>
        <v>2</v>
      </c>
      <c r="Z4" s="225">
        <f t="shared" si="0"/>
        <v>2</v>
      </c>
      <c r="AA4" s="225">
        <f t="shared" si="0"/>
        <v>2</v>
      </c>
      <c r="AB4" s="225">
        <f t="shared" si="0"/>
        <v>3</v>
      </c>
      <c r="AC4" s="225">
        <f t="shared" si="0"/>
        <v>3</v>
      </c>
      <c r="AD4" s="225">
        <f t="shared" si="0"/>
        <v>3</v>
      </c>
      <c r="AE4" s="225">
        <f t="shared" si="0"/>
        <v>3</v>
      </c>
      <c r="AF4" s="225">
        <f t="shared" si="0"/>
        <v>3</v>
      </c>
      <c r="AG4" s="225">
        <f t="shared" si="0"/>
        <v>3</v>
      </c>
      <c r="AH4" s="225">
        <f t="shared" si="0"/>
        <v>3</v>
      </c>
      <c r="AI4" s="225">
        <f t="shared" si="0"/>
        <v>3</v>
      </c>
      <c r="AJ4" s="225">
        <f t="shared" si="0"/>
        <v>3</v>
      </c>
      <c r="AK4" s="225">
        <f t="shared" si="0"/>
        <v>3</v>
      </c>
      <c r="AL4" s="225">
        <f t="shared" si="0"/>
        <v>3</v>
      </c>
      <c r="AM4" s="225">
        <f t="shared" si="0"/>
        <v>3</v>
      </c>
      <c r="AN4" s="225">
        <f t="shared" si="0"/>
        <v>4</v>
      </c>
      <c r="AO4" s="225">
        <f t="shared" si="0"/>
        <v>4</v>
      </c>
      <c r="AP4" s="225">
        <f t="shared" si="0"/>
        <v>4</v>
      </c>
    </row>
    <row r="5" spans="1:48">
      <c r="A5" s="225" t="s">
        <v>16</v>
      </c>
      <c r="D5" s="225">
        <f>INDEX($D4:$G4,0,COUNT($D4:$G4)-D6)</f>
        <v>2050</v>
      </c>
      <c r="E5" s="225">
        <f>INDEX($D4:$G4,0,COUNT($D4:$G4)-E6)</f>
        <v>2030</v>
      </c>
      <c r="F5" s="225">
        <f>INDEX($D4:$G4,0,COUNT($D4:$G4)-F6)</f>
        <v>2020</v>
      </c>
      <c r="G5" s="225">
        <f>INDEX($D4:$G4,0,COUNT($D4:$G4)-G6)</f>
        <v>2012</v>
      </c>
      <c r="H5" s="225">
        <v>0</v>
      </c>
      <c r="I5" s="225" t="s">
        <v>394</v>
      </c>
      <c r="J5" s="225">
        <f t="shared" ref="J5:Y5" si="1">MATCH(J$3,$D$4:$G$4,$H5)</f>
        <v>1</v>
      </c>
      <c r="K5" s="225" t="e">
        <f t="shared" si="1"/>
        <v>#N/A</v>
      </c>
      <c r="L5" s="225" t="e">
        <f t="shared" si="1"/>
        <v>#N/A</v>
      </c>
      <c r="M5" s="225" t="e">
        <f t="shared" si="1"/>
        <v>#N/A</v>
      </c>
      <c r="N5" s="225" t="e">
        <f t="shared" si="1"/>
        <v>#N/A</v>
      </c>
      <c r="O5" s="225" t="e">
        <f t="shared" si="1"/>
        <v>#N/A</v>
      </c>
      <c r="P5" s="225" t="e">
        <f t="shared" si="1"/>
        <v>#N/A</v>
      </c>
      <c r="Q5" s="225" t="e">
        <f t="shared" si="1"/>
        <v>#N/A</v>
      </c>
      <c r="R5" s="225">
        <f t="shared" si="1"/>
        <v>2</v>
      </c>
      <c r="S5" s="225" t="e">
        <f t="shared" si="1"/>
        <v>#N/A</v>
      </c>
      <c r="T5" s="225" t="e">
        <f t="shared" si="1"/>
        <v>#N/A</v>
      </c>
      <c r="U5" s="225" t="e">
        <f t="shared" si="1"/>
        <v>#N/A</v>
      </c>
      <c r="V5" s="225" t="e">
        <f t="shared" si="1"/>
        <v>#N/A</v>
      </c>
      <c r="W5" s="225" t="e">
        <f t="shared" si="1"/>
        <v>#N/A</v>
      </c>
      <c r="X5" s="225" t="e">
        <f t="shared" si="1"/>
        <v>#N/A</v>
      </c>
      <c r="Y5" s="225" t="e">
        <f t="shared" si="1"/>
        <v>#N/A</v>
      </c>
      <c r="Z5" s="225" t="e">
        <f t="shared" si="0"/>
        <v>#N/A</v>
      </c>
      <c r="AA5" s="225" t="e">
        <f t="shared" si="0"/>
        <v>#N/A</v>
      </c>
      <c r="AB5" s="225">
        <f t="shared" si="0"/>
        <v>3</v>
      </c>
      <c r="AC5" s="225" t="e">
        <f t="shared" si="0"/>
        <v>#N/A</v>
      </c>
      <c r="AD5" s="225" t="e">
        <f t="shared" si="0"/>
        <v>#N/A</v>
      </c>
      <c r="AE5" s="225" t="e">
        <f t="shared" si="0"/>
        <v>#N/A</v>
      </c>
      <c r="AF5" s="225" t="e">
        <f t="shared" si="0"/>
        <v>#N/A</v>
      </c>
      <c r="AG5" s="225" t="e">
        <f t="shared" si="0"/>
        <v>#N/A</v>
      </c>
      <c r="AH5" s="225" t="e">
        <f t="shared" si="0"/>
        <v>#N/A</v>
      </c>
      <c r="AI5" s="225" t="e">
        <f t="shared" si="0"/>
        <v>#N/A</v>
      </c>
      <c r="AJ5" s="225" t="e">
        <f t="shared" si="0"/>
        <v>#N/A</v>
      </c>
      <c r="AK5" s="225" t="e">
        <f t="shared" si="0"/>
        <v>#N/A</v>
      </c>
      <c r="AL5" s="225" t="e">
        <f t="shared" si="0"/>
        <v>#N/A</v>
      </c>
      <c r="AM5" s="225" t="e">
        <f t="shared" si="0"/>
        <v>#N/A</v>
      </c>
      <c r="AN5" s="225">
        <f t="shared" si="0"/>
        <v>4</v>
      </c>
      <c r="AO5" s="225" t="e">
        <f t="shared" si="0"/>
        <v>#N/A</v>
      </c>
      <c r="AP5" s="225" t="e">
        <f t="shared" si="0"/>
        <v>#N/A</v>
      </c>
    </row>
    <row r="6" spans="1:48">
      <c r="A6" s="225" t="s">
        <v>16</v>
      </c>
      <c r="D6" s="225">
        <v>0</v>
      </c>
      <c r="E6" s="225">
        <v>1</v>
      </c>
      <c r="F6" s="225">
        <v>2</v>
      </c>
      <c r="G6" s="225">
        <v>3</v>
      </c>
      <c r="H6" s="225">
        <v>-1</v>
      </c>
      <c r="I6" s="225" t="s">
        <v>392</v>
      </c>
      <c r="J6" s="225">
        <f>MATCH(J$3,$D$5:$G$5,$H6)</f>
        <v>4</v>
      </c>
      <c r="K6" s="225">
        <f t="shared" ref="K6:AP6" si="2">MATCH(K$3,$D$5:$G$5,$H6)</f>
        <v>3</v>
      </c>
      <c r="L6" s="225">
        <f t="shared" si="2"/>
        <v>3</v>
      </c>
      <c r="M6" s="225">
        <f t="shared" si="2"/>
        <v>3</v>
      </c>
      <c r="N6" s="225">
        <f t="shared" si="2"/>
        <v>3</v>
      </c>
      <c r="O6" s="225">
        <f t="shared" si="2"/>
        <v>3</v>
      </c>
      <c r="P6" s="225">
        <f t="shared" si="2"/>
        <v>3</v>
      </c>
      <c r="Q6" s="225">
        <f t="shared" si="2"/>
        <v>3</v>
      </c>
      <c r="R6" s="225">
        <f t="shared" si="2"/>
        <v>3</v>
      </c>
      <c r="S6" s="225">
        <f t="shared" si="2"/>
        <v>2</v>
      </c>
      <c r="T6" s="225">
        <f t="shared" si="2"/>
        <v>2</v>
      </c>
      <c r="U6" s="225">
        <f t="shared" si="2"/>
        <v>2</v>
      </c>
      <c r="V6" s="225">
        <f t="shared" si="2"/>
        <v>2</v>
      </c>
      <c r="W6" s="225">
        <f t="shared" si="2"/>
        <v>2</v>
      </c>
      <c r="X6" s="225">
        <f t="shared" si="2"/>
        <v>2</v>
      </c>
      <c r="Y6" s="225">
        <f t="shared" si="2"/>
        <v>2</v>
      </c>
      <c r="Z6" s="225">
        <f t="shared" si="2"/>
        <v>2</v>
      </c>
      <c r="AA6" s="225">
        <f t="shared" si="2"/>
        <v>2</v>
      </c>
      <c r="AB6" s="225">
        <f t="shared" si="2"/>
        <v>2</v>
      </c>
      <c r="AC6" s="225">
        <f t="shared" si="2"/>
        <v>1</v>
      </c>
      <c r="AD6" s="225">
        <f t="shared" si="2"/>
        <v>1</v>
      </c>
      <c r="AE6" s="225">
        <f t="shared" si="2"/>
        <v>1</v>
      </c>
      <c r="AF6" s="225">
        <f t="shared" si="2"/>
        <v>1</v>
      </c>
      <c r="AG6" s="225">
        <f t="shared" si="2"/>
        <v>1</v>
      </c>
      <c r="AH6" s="225">
        <f t="shared" si="2"/>
        <v>1</v>
      </c>
      <c r="AI6" s="225">
        <f t="shared" si="2"/>
        <v>1</v>
      </c>
      <c r="AJ6" s="225">
        <f t="shared" si="2"/>
        <v>1</v>
      </c>
      <c r="AK6" s="225">
        <f t="shared" si="2"/>
        <v>1</v>
      </c>
      <c r="AL6" s="225">
        <f t="shared" si="2"/>
        <v>1</v>
      </c>
      <c r="AM6" s="225">
        <f t="shared" si="2"/>
        <v>1</v>
      </c>
      <c r="AN6" s="225">
        <f>MATCH(AN$3,$D$5:$G$5,$H6)</f>
        <v>1</v>
      </c>
      <c r="AO6" s="225" t="e">
        <f t="shared" si="2"/>
        <v>#N/A</v>
      </c>
      <c r="AP6" s="225" t="e">
        <f t="shared" si="2"/>
        <v>#N/A</v>
      </c>
    </row>
    <row r="7" spans="1:48">
      <c r="A7" s="225" t="s">
        <v>16</v>
      </c>
      <c r="I7" s="225" t="s">
        <v>395</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225" t="s">
        <v>16</v>
      </c>
      <c r="B8" s="14" t="s">
        <v>11</v>
      </c>
      <c r="C8" s="14"/>
      <c r="D8" s="14"/>
      <c r="E8" s="14"/>
      <c r="F8" s="14"/>
    </row>
    <row r="9" spans="1:48">
      <c r="A9" s="225" t="s">
        <v>16</v>
      </c>
      <c r="B9" s="225" t="s">
        <v>9</v>
      </c>
      <c r="C9" s="225" t="s">
        <v>10</v>
      </c>
      <c r="D9" s="225" t="s">
        <v>281</v>
      </c>
      <c r="E9" s="22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225">
        <f>AN9+1</f>
        <v>32</v>
      </c>
      <c r="AP9" s="225">
        <f>AO9+1</f>
        <v>33</v>
      </c>
    </row>
    <row r="10" spans="1:48">
      <c r="A10" s="225" t="s">
        <v>16</v>
      </c>
      <c r="B10" s="226" t="str">
        <f>[5]IND!B10</f>
        <v>MI</v>
      </c>
      <c r="C10" s="226" t="str">
        <f>[5]IND!A10</f>
        <v>Mining</v>
      </c>
      <c r="D10" s="225">
        <f>[5]IND!M10</f>
        <v>1</v>
      </c>
      <c r="F10" s="226"/>
      <c r="G10" s="225">
        <f>MATCH(B10,Drivers!$A$7:$A$22,0)</f>
        <v>7</v>
      </c>
      <c r="H10" s="226"/>
      <c r="I10" s="226"/>
      <c r="J10" s="225">
        <f>INDEX(Drivers!$C$7:$AG$22,$G10,J$9)</f>
        <v>205.45</v>
      </c>
      <c r="K10" s="225">
        <f>INDEX(Drivers!$C$7:$AG$22,$G10,K$9)</f>
        <v>210.29</v>
      </c>
      <c r="L10" s="225">
        <f>INDEX(Drivers!$C$7:$AG$22,$G10,L$9)</f>
        <v>210.09</v>
      </c>
      <c r="M10" s="225">
        <f>INDEX(Drivers!$C$7:$AG$22,$G10,M$9)</f>
        <v>214.84</v>
      </c>
      <c r="N10" s="225">
        <f>INDEX(Drivers!$C$7:$AG$22,$G10,N$9)</f>
        <v>210.99</v>
      </c>
      <c r="O10" s="225">
        <f>INDEX(Drivers!$C$7:$AG$22,$G10,O$9)</f>
        <v>215.85</v>
      </c>
      <c r="P10" s="225">
        <f>INDEX(Drivers!$C$7:$AG$22,$G10,P$9)</f>
        <v>213.65</v>
      </c>
      <c r="Q10" s="225">
        <f>INDEX(Drivers!$C$7:$AG$22,$G10,Q$9)</f>
        <v>210.07</v>
      </c>
      <c r="R10" s="225">
        <f>INDEX(Drivers!$C$7:$AG$22,$G10,R$9)</f>
        <v>193.07</v>
      </c>
      <c r="S10" s="225">
        <f>INDEX(Drivers!$C$7:$AG$22,$G10,S$9)</f>
        <v>196.38</v>
      </c>
      <c r="T10" s="225">
        <f>INDEX(Drivers!$C$7:$AG$22,$G10,T$9)</f>
        <v>199.05</v>
      </c>
      <c r="U10" s="225">
        <f>INDEX(Drivers!$C$7:$AG$22,$G10,U$9)</f>
        <v>201.54</v>
      </c>
      <c r="V10" s="225">
        <f>INDEX(Drivers!$C$7:$AG$22,$G10,V$9)</f>
        <v>203.91</v>
      </c>
      <c r="W10" s="225">
        <f>INDEX(Drivers!$C$7:$AG$22,$G10,W$9)</f>
        <v>207.14</v>
      </c>
      <c r="X10" s="225">
        <f>INDEX(Drivers!$C$7:$AG$22,$G10,X$9)</f>
        <v>212.19</v>
      </c>
      <c r="Y10" s="225">
        <f>INDEX(Drivers!$C$7:$AG$22,$G10,Y$9)</f>
        <v>217.65</v>
      </c>
      <c r="Z10" s="225">
        <f>INDEX(Drivers!$C$7:$AG$22,$G10,Z$9)</f>
        <v>223.52</v>
      </c>
      <c r="AA10" s="225">
        <f>INDEX(Drivers!$C$7:$AG$22,$G10,AA$9)</f>
        <v>228.69</v>
      </c>
      <c r="AB10" s="225">
        <f>INDEX(Drivers!$C$7:$AG$22,$G10,AB$9)</f>
        <v>234.66</v>
      </c>
      <c r="AC10" s="225">
        <f>INDEX(Drivers!$C$7:$AG$22,$G10,AC$9)</f>
        <v>240.3</v>
      </c>
      <c r="AD10" s="225">
        <f>INDEX(Drivers!$C$7:$AG$22,$G10,AD$9)</f>
        <v>245.53</v>
      </c>
      <c r="AE10" s="225">
        <f>INDEX(Drivers!$C$7:$AG$22,$G10,AE$9)</f>
        <v>251.1</v>
      </c>
      <c r="AF10" s="225">
        <f>INDEX(Drivers!$C$7:$AG$22,$G10,AF$9)</f>
        <v>256.91000000000003</v>
      </c>
      <c r="AG10" s="225">
        <f>INDEX(Drivers!$C$7:$AG$22,$G10,AG$9)</f>
        <v>262.83</v>
      </c>
      <c r="AH10" s="225">
        <f>INDEX(Drivers!$C$7:$AG$22,$G10,AH$9)</f>
        <v>269.37</v>
      </c>
      <c r="AI10" s="225">
        <f>INDEX(Drivers!$C$7:$AG$22,$G10,AI$9)</f>
        <v>276.17</v>
      </c>
      <c r="AJ10" s="225">
        <f>INDEX(Drivers!$C$7:$AG$22,$G10,AJ$9)</f>
        <v>282.98</v>
      </c>
      <c r="AK10" s="225">
        <f>INDEX(Drivers!$C$7:$AG$22,$G10,AK$9)</f>
        <v>290.05</v>
      </c>
      <c r="AL10" s="225">
        <f>INDEX(Drivers!$C$7:$AG$22,$G10,AL$9)</f>
        <v>297.62</v>
      </c>
      <c r="AM10" s="225">
        <f>INDEX(Drivers!$C$7:$AG$22,$G10,AM$9)</f>
        <v>334.31</v>
      </c>
      <c r="AN10" s="225">
        <f>INDEX(Drivers!$C$7:$AG$22,$G10,AN$9)</f>
        <v>380</v>
      </c>
      <c r="AO10" s="225">
        <f>FORECAST(AO$3,$AL10:$AN10,$AL$3:$AN$3)</f>
        <v>460.88000000000102</v>
      </c>
      <c r="AP10" s="225">
        <f>FORECAST(AP$3,$AL10:$AN10,$AL$3:$AN$3)</f>
        <v>543.26000000000204</v>
      </c>
    </row>
    <row r="11" spans="1:48">
      <c r="A11" s="225" t="s">
        <v>16</v>
      </c>
      <c r="B11" s="226" t="str">
        <f>[5]IND!B11</f>
        <v>FA</v>
      </c>
      <c r="C11" s="226" t="str">
        <f>[5]IND!A11</f>
        <v>Ferro Alloys</v>
      </c>
      <c r="D11" s="225">
        <f>[5]IND!M11</f>
        <v>0</v>
      </c>
      <c r="F11" s="226" t="s">
        <v>648</v>
      </c>
      <c r="G11" s="225">
        <f>G10</f>
        <v>7</v>
      </c>
      <c r="H11" s="226"/>
      <c r="I11" s="226"/>
      <c r="J11" s="225">
        <f>INDEX(Drivers!$C$7:$AG$22,$G11,J$9)</f>
        <v>205.45</v>
      </c>
      <c r="K11" s="225">
        <f>INDEX(Drivers!$C$7:$AG$22,$G11,K$9)</f>
        <v>210.29</v>
      </c>
      <c r="L11" s="225">
        <f>INDEX(Drivers!$C$7:$AG$22,$G11,L$9)</f>
        <v>210.09</v>
      </c>
      <c r="M11" s="225">
        <f>INDEX(Drivers!$C$7:$AG$22,$G11,M$9)</f>
        <v>214.84</v>
      </c>
      <c r="N11" s="225">
        <f>INDEX(Drivers!$C$7:$AG$22,$G11,N$9)</f>
        <v>210.99</v>
      </c>
      <c r="O11" s="225">
        <f>INDEX(Drivers!$C$7:$AG$22,$G11,O$9)</f>
        <v>215.85</v>
      </c>
      <c r="P11" s="225">
        <f>INDEX(Drivers!$C$7:$AG$22,$G11,P$9)</f>
        <v>213.65</v>
      </c>
      <c r="Q11" s="225">
        <f>INDEX(Drivers!$C$7:$AG$22,$G11,Q$9)</f>
        <v>210.07</v>
      </c>
      <c r="R11" s="225">
        <f>INDEX(Drivers!$C$7:$AG$22,$G11,R$9)</f>
        <v>193.07</v>
      </c>
      <c r="S11" s="225">
        <f>INDEX(Drivers!$C$7:$AG$22,$G11,S$9)</f>
        <v>196.38</v>
      </c>
      <c r="T11" s="225">
        <f>INDEX(Drivers!$C$7:$AG$22,$G11,T$9)</f>
        <v>199.05</v>
      </c>
      <c r="U11" s="225">
        <f>INDEX(Drivers!$C$7:$AG$22,$G11,U$9)</f>
        <v>201.54</v>
      </c>
      <c r="V11" s="225">
        <f>INDEX(Drivers!$C$7:$AG$22,$G11,V$9)</f>
        <v>203.91</v>
      </c>
      <c r="W11" s="225">
        <f>INDEX(Drivers!$C$7:$AG$22,$G11,W$9)</f>
        <v>207.14</v>
      </c>
      <c r="X11" s="225">
        <f>INDEX(Drivers!$C$7:$AG$22,$G11,X$9)</f>
        <v>212.19</v>
      </c>
      <c r="Y11" s="225">
        <f>INDEX(Drivers!$C$7:$AG$22,$G11,Y$9)</f>
        <v>217.65</v>
      </c>
      <c r="Z11" s="225">
        <f>INDEX(Drivers!$C$7:$AG$22,$G11,Z$9)</f>
        <v>223.52</v>
      </c>
      <c r="AA11" s="225">
        <f>INDEX(Drivers!$C$7:$AG$22,$G11,AA$9)</f>
        <v>228.69</v>
      </c>
      <c r="AB11" s="225">
        <f>INDEX(Drivers!$C$7:$AG$22,$G11,AB$9)</f>
        <v>234.66</v>
      </c>
      <c r="AC11" s="225">
        <f>INDEX(Drivers!$C$7:$AG$22,$G11,AC$9)</f>
        <v>240.3</v>
      </c>
      <c r="AD11" s="225">
        <f>INDEX(Drivers!$C$7:$AG$22,$G11,AD$9)</f>
        <v>245.53</v>
      </c>
      <c r="AE11" s="225">
        <f>INDEX(Drivers!$C$7:$AG$22,$G11,AE$9)</f>
        <v>251.1</v>
      </c>
      <c r="AF11" s="225">
        <f>INDEX(Drivers!$C$7:$AG$22,$G11,AF$9)</f>
        <v>256.91000000000003</v>
      </c>
      <c r="AG11" s="225">
        <f>INDEX(Drivers!$C$7:$AG$22,$G11,AG$9)</f>
        <v>262.83</v>
      </c>
      <c r="AH11" s="225">
        <f>INDEX(Drivers!$C$7:$AG$22,$G11,AH$9)</f>
        <v>269.37</v>
      </c>
      <c r="AI11" s="225">
        <f>INDEX(Drivers!$C$7:$AG$22,$G11,AI$9)</f>
        <v>276.17</v>
      </c>
      <c r="AJ11" s="225">
        <f>INDEX(Drivers!$C$7:$AG$22,$G11,AJ$9)</f>
        <v>282.98</v>
      </c>
      <c r="AK11" s="225">
        <f>INDEX(Drivers!$C$7:$AG$22,$G11,AK$9)</f>
        <v>290.05</v>
      </c>
      <c r="AL11" s="225">
        <f>INDEX(Drivers!$C$7:$AG$22,$G11,AL$9)</f>
        <v>297.62</v>
      </c>
      <c r="AM11" s="225">
        <f>INDEX(Drivers!$C$7:$AG$22,$G11,AM$9)</f>
        <v>334.31</v>
      </c>
      <c r="AN11" s="225">
        <f>INDEX(Drivers!$C$7:$AG$22,$G11,AN$9)</f>
        <v>380</v>
      </c>
      <c r="AO11" s="225">
        <f t="shared" ref="AO11:AP22" si="4">FORECAST(AO$3,$AL11:$AN11,$AL$3:$AN$3)</f>
        <v>460.88000000000102</v>
      </c>
      <c r="AP11" s="225">
        <f t="shared" si="4"/>
        <v>543.26000000000204</v>
      </c>
    </row>
    <row r="12" spans="1:48">
      <c r="A12" s="225" t="s">
        <v>16</v>
      </c>
      <c r="B12" s="226" t="str">
        <f>[5]IND!B12</f>
        <v>IS</v>
      </c>
      <c r="C12" s="226" t="str">
        <f>[5]IND!A12</f>
        <v>Iron &amp; Steel</v>
      </c>
      <c r="D12" s="225">
        <f>[5]IND!M12</f>
        <v>0</v>
      </c>
      <c r="F12" s="226" t="s">
        <v>292</v>
      </c>
      <c r="G12" s="225">
        <f>MATCH(B12,Drivers!$A$7:$A$22,0)</f>
        <v>6</v>
      </c>
      <c r="H12" s="226"/>
      <c r="I12" s="226"/>
      <c r="J12" s="225">
        <f>INDEX(Drivers!$C$7:$AG$22,$G12,J$9)</f>
        <v>13.35</v>
      </c>
      <c r="K12" s="225">
        <f>INDEX(Drivers!$C$7:$AG$22,$G12,K$9)</f>
        <v>13.74</v>
      </c>
      <c r="L12" s="225">
        <f>INDEX(Drivers!$C$7:$AG$22,$G12,L$9)</f>
        <v>13.91</v>
      </c>
      <c r="M12" s="225">
        <f>INDEX(Drivers!$C$7:$AG$22,$G12,M$9)</f>
        <v>14.13</v>
      </c>
      <c r="N12" s="225">
        <f>INDEX(Drivers!$C$7:$AG$22,$G12,N$9)</f>
        <v>14.15</v>
      </c>
      <c r="O12" s="225">
        <f>INDEX(Drivers!$C$7:$AG$22,$G12,O$9)</f>
        <v>14.18</v>
      </c>
      <c r="P12" s="225">
        <f>INDEX(Drivers!$C$7:$AG$22,$G12,P$9)</f>
        <v>14.21</v>
      </c>
      <c r="Q12" s="225">
        <f>INDEX(Drivers!$C$7:$AG$22,$G12,Q$9)</f>
        <v>14.08</v>
      </c>
      <c r="R12" s="225">
        <f>INDEX(Drivers!$C$7:$AG$22,$G12,R$9)</f>
        <v>12.26</v>
      </c>
      <c r="S12" s="225">
        <f>INDEX(Drivers!$C$7:$AG$22,$G12,S$9)</f>
        <v>12.65</v>
      </c>
      <c r="T12" s="225">
        <f>INDEX(Drivers!$C$7:$AG$22,$G12,T$9)</f>
        <v>12.9</v>
      </c>
      <c r="U12" s="225">
        <f>INDEX(Drivers!$C$7:$AG$22,$G12,U$9)</f>
        <v>13.13</v>
      </c>
      <c r="V12" s="225">
        <f>INDEX(Drivers!$C$7:$AG$22,$G12,V$9)</f>
        <v>13.34</v>
      </c>
      <c r="W12" s="225">
        <f>INDEX(Drivers!$C$7:$AG$22,$G12,W$9)</f>
        <v>13.63</v>
      </c>
      <c r="X12" s="225">
        <f>INDEX(Drivers!$C$7:$AG$22,$G12,X$9)</f>
        <v>14.12</v>
      </c>
      <c r="Y12" s="225">
        <f>INDEX(Drivers!$C$7:$AG$22,$G12,Y$9)</f>
        <v>14.6</v>
      </c>
      <c r="Z12" s="225">
        <f>INDEX(Drivers!$C$7:$AG$22,$G12,Z$9)</f>
        <v>15.08</v>
      </c>
      <c r="AA12" s="225">
        <f>INDEX(Drivers!$C$7:$AG$22,$G12,AA$9)</f>
        <v>15.43</v>
      </c>
      <c r="AB12" s="225">
        <f>INDEX(Drivers!$C$7:$AG$22,$G12,AB$9)</f>
        <v>15.88</v>
      </c>
      <c r="AC12" s="225">
        <f>INDEX(Drivers!$C$7:$AG$22,$G12,AC$9)</f>
        <v>16.239999999999998</v>
      </c>
      <c r="AD12" s="225">
        <f>INDEX(Drivers!$C$7:$AG$22,$G12,AD$9)</f>
        <v>16.559999999999999</v>
      </c>
      <c r="AE12" s="225">
        <f>INDEX(Drivers!$C$7:$AG$22,$G12,AE$9)</f>
        <v>16.93</v>
      </c>
      <c r="AF12" s="225">
        <f>INDEX(Drivers!$C$7:$AG$22,$G12,AF$9)</f>
        <v>17.34</v>
      </c>
      <c r="AG12" s="225">
        <f>INDEX(Drivers!$C$7:$AG$22,$G12,AG$9)</f>
        <v>17.73</v>
      </c>
      <c r="AH12" s="225">
        <f>INDEX(Drivers!$C$7:$AG$22,$G12,AH$9)</f>
        <v>18.190000000000001</v>
      </c>
      <c r="AI12" s="225">
        <f>INDEX(Drivers!$C$7:$AG$22,$G12,AI$9)</f>
        <v>18.670000000000002</v>
      </c>
      <c r="AJ12" s="225">
        <f>INDEX(Drivers!$C$7:$AG$22,$G12,AJ$9)</f>
        <v>19.14</v>
      </c>
      <c r="AK12" s="225">
        <f>INDEX(Drivers!$C$7:$AG$22,$G12,AK$9)</f>
        <v>19.63</v>
      </c>
      <c r="AL12" s="225">
        <f>INDEX(Drivers!$C$7:$AG$22,$G12,AL$9)</f>
        <v>20.14</v>
      </c>
      <c r="AM12" s="225">
        <f>INDEX(Drivers!$C$7:$AG$22,$G12,AM$9)</f>
        <v>22.59</v>
      </c>
      <c r="AN12" s="225">
        <f>INDEX(Drivers!$C$7:$AG$22,$G12,AN$9)</f>
        <v>25.89</v>
      </c>
      <c r="AO12" s="225">
        <f t="shared" si="4"/>
        <v>31.498333333333449</v>
      </c>
      <c r="AP12" s="225">
        <f t="shared" si="4"/>
        <v>37.248333333333449</v>
      </c>
    </row>
    <row r="13" spans="1:48">
      <c r="A13" s="225" t="s">
        <v>16</v>
      </c>
      <c r="B13" s="226" t="str">
        <f>[5]IND!B14</f>
        <v>CP</v>
      </c>
      <c r="C13" s="226" t="str">
        <f>[5]IND!A14</f>
        <v>Chemicals</v>
      </c>
      <c r="D13" s="225">
        <f>[5]IND!M14</f>
        <v>1</v>
      </c>
      <c r="F13" s="226"/>
      <c r="G13" s="225">
        <f>MATCH(B13,Drivers!$A$7:$A$22,0)</f>
        <v>3</v>
      </c>
      <c r="H13" s="226"/>
      <c r="I13" s="226"/>
      <c r="J13" s="225">
        <f>INDEX(Drivers!$C$7:$AG$22,$G13,J$9)</f>
        <v>52.81</v>
      </c>
      <c r="K13" s="225">
        <f>INDEX(Drivers!$C$7:$AG$22,$G13,K$9)</f>
        <v>54.31</v>
      </c>
      <c r="L13" s="225">
        <f>INDEX(Drivers!$C$7:$AG$22,$G13,L$9)</f>
        <v>55.26</v>
      </c>
      <c r="M13" s="225">
        <f>INDEX(Drivers!$C$7:$AG$22,$G13,M$9)</f>
        <v>55.73</v>
      </c>
      <c r="N13" s="225">
        <f>INDEX(Drivers!$C$7:$AG$22,$G13,N$9)</f>
        <v>56.3</v>
      </c>
      <c r="O13" s="225">
        <f>INDEX(Drivers!$C$7:$AG$22,$G13,O$9)</f>
        <v>56.6</v>
      </c>
      <c r="P13" s="225">
        <f>INDEX(Drivers!$C$7:$AG$22,$G13,P$9)</f>
        <v>57.09</v>
      </c>
      <c r="Q13" s="225">
        <f>INDEX(Drivers!$C$7:$AG$22,$G13,Q$9)</f>
        <v>56.96</v>
      </c>
      <c r="R13" s="225">
        <f>INDEX(Drivers!$C$7:$AG$22,$G13,R$9)</f>
        <v>52.37</v>
      </c>
      <c r="S13" s="225">
        <f>INDEX(Drivers!$C$7:$AG$22,$G13,S$9)</f>
        <v>53.76</v>
      </c>
      <c r="T13" s="225">
        <f>INDEX(Drivers!$C$7:$AG$22,$G13,T$9)</f>
        <v>55.02</v>
      </c>
      <c r="U13" s="225">
        <f>INDEX(Drivers!$C$7:$AG$22,$G13,U$9)</f>
        <v>56.21</v>
      </c>
      <c r="V13" s="225">
        <f>INDEX(Drivers!$C$7:$AG$22,$G13,V$9)</f>
        <v>57.35</v>
      </c>
      <c r="W13" s="225">
        <f>INDEX(Drivers!$C$7:$AG$22,$G13,W$9)</f>
        <v>58.59</v>
      </c>
      <c r="X13" s="225">
        <f>INDEX(Drivers!$C$7:$AG$22,$G13,X$9)</f>
        <v>60.17</v>
      </c>
      <c r="Y13" s="225">
        <f>INDEX(Drivers!$C$7:$AG$22,$G13,Y$9)</f>
        <v>61.72</v>
      </c>
      <c r="Z13" s="225">
        <f>INDEX(Drivers!$C$7:$AG$22,$G13,Z$9)</f>
        <v>63.31</v>
      </c>
      <c r="AA13" s="225">
        <f>INDEX(Drivers!$C$7:$AG$22,$G13,AA$9)</f>
        <v>65.09</v>
      </c>
      <c r="AB13" s="225">
        <f>INDEX(Drivers!$C$7:$AG$22,$G13,AB$9)</f>
        <v>66.930000000000007</v>
      </c>
      <c r="AC13" s="225">
        <f>INDEX(Drivers!$C$7:$AG$22,$G13,AC$9)</f>
        <v>68.83</v>
      </c>
      <c r="AD13" s="225">
        <f>INDEX(Drivers!$C$7:$AG$22,$G13,AD$9)</f>
        <v>70.67</v>
      </c>
      <c r="AE13" s="225">
        <f>INDEX(Drivers!$C$7:$AG$22,$G13,AE$9)</f>
        <v>72.69</v>
      </c>
      <c r="AF13" s="225">
        <f>INDEX(Drivers!$C$7:$AG$22,$G13,AF$9)</f>
        <v>74.849999999999994</v>
      </c>
      <c r="AG13" s="225">
        <f>INDEX(Drivers!$C$7:$AG$22,$G13,AG$9)</f>
        <v>77.23</v>
      </c>
      <c r="AH13" s="225">
        <f>INDEX(Drivers!$C$7:$AG$22,$G13,AH$9)</f>
        <v>79.680000000000007</v>
      </c>
      <c r="AI13" s="225">
        <f>INDEX(Drivers!$C$7:$AG$22,$G13,AI$9)</f>
        <v>82.2</v>
      </c>
      <c r="AJ13" s="225">
        <f>INDEX(Drivers!$C$7:$AG$22,$G13,AJ$9)</f>
        <v>84.75</v>
      </c>
      <c r="AK13" s="225">
        <f>INDEX(Drivers!$C$7:$AG$22,$G13,AK$9)</f>
        <v>87.38</v>
      </c>
      <c r="AL13" s="225">
        <f>INDEX(Drivers!$C$7:$AG$22,$G13,AL$9)</f>
        <v>90.15</v>
      </c>
      <c r="AM13" s="225">
        <f>INDEX(Drivers!$C$7:$AG$22,$G13,AM$9)</f>
        <v>105</v>
      </c>
      <c r="AN13" s="225">
        <f>INDEX(Drivers!$C$7:$AG$22,$G13,AN$9)</f>
        <v>123.19</v>
      </c>
      <c r="AO13" s="225">
        <f t="shared" si="4"/>
        <v>155.67333333333409</v>
      </c>
      <c r="AP13" s="225">
        <f t="shared" si="4"/>
        <v>188.71333333333405</v>
      </c>
    </row>
    <row r="14" spans="1:48">
      <c r="A14" s="225" t="s">
        <v>16</v>
      </c>
      <c r="B14" s="226" t="str">
        <f>[5]IND!B15</f>
        <v>NF</v>
      </c>
      <c r="C14" s="226" t="str">
        <f>[5]IND!A15</f>
        <v>Precious &amp; Non-Ferrous metals</v>
      </c>
      <c r="D14" s="225">
        <f>[5]IND!M15</f>
        <v>1</v>
      </c>
      <c r="F14" s="226"/>
      <c r="G14" s="225">
        <f>MATCH(B14,Drivers!$A$7:$A$22,0)</f>
        <v>8</v>
      </c>
      <c r="H14" s="226"/>
      <c r="I14" s="226"/>
      <c r="J14" s="225">
        <f>INDEX(Drivers!$C$7:$AG$22,$G14,J$9)</f>
        <v>10.11</v>
      </c>
      <c r="K14" s="225">
        <f>INDEX(Drivers!$C$7:$AG$22,$G14,K$9)</f>
        <v>8.43</v>
      </c>
      <c r="L14" s="225">
        <f>INDEX(Drivers!$C$7:$AG$22,$G14,L$9)</f>
        <v>7.26</v>
      </c>
      <c r="M14" s="225">
        <f>INDEX(Drivers!$C$7:$AG$22,$G14,M$9)</f>
        <v>6.85</v>
      </c>
      <c r="N14" s="225">
        <f>INDEX(Drivers!$C$7:$AG$22,$G14,N$9)</f>
        <v>6.43</v>
      </c>
      <c r="O14" s="225">
        <f>INDEX(Drivers!$C$7:$AG$22,$G14,O$9)</f>
        <v>5.96</v>
      </c>
      <c r="P14" s="225">
        <f>INDEX(Drivers!$C$7:$AG$22,$G14,P$9)</f>
        <v>5.84</v>
      </c>
      <c r="Q14" s="225">
        <f>INDEX(Drivers!$C$7:$AG$22,$G14,Q$9)</f>
        <v>5.52</v>
      </c>
      <c r="R14" s="225">
        <f>INDEX(Drivers!$C$7:$AG$22,$G14,R$9)</f>
        <v>4.53</v>
      </c>
      <c r="S14" s="225">
        <f>INDEX(Drivers!$C$7:$AG$22,$G14,S$9)</f>
        <v>4.6900000000000004</v>
      </c>
      <c r="T14" s="225">
        <f>INDEX(Drivers!$C$7:$AG$22,$G14,T$9)</f>
        <v>4.71</v>
      </c>
      <c r="U14" s="225">
        <f>INDEX(Drivers!$C$7:$AG$22,$G14,U$9)</f>
        <v>4.74</v>
      </c>
      <c r="V14" s="225">
        <f>INDEX(Drivers!$C$7:$AG$22,$G14,V$9)</f>
        <v>4.7699999999999996</v>
      </c>
      <c r="W14" s="225">
        <f>INDEX(Drivers!$C$7:$AG$22,$G14,W$9)</f>
        <v>4.84</v>
      </c>
      <c r="X14" s="225">
        <f>INDEX(Drivers!$C$7:$AG$22,$G14,X$9)</f>
        <v>5.01</v>
      </c>
      <c r="Y14" s="225">
        <f>INDEX(Drivers!$C$7:$AG$22,$G14,Y$9)</f>
        <v>5.21</v>
      </c>
      <c r="Z14" s="225">
        <f>INDEX(Drivers!$C$7:$AG$22,$G14,Z$9)</f>
        <v>5.45</v>
      </c>
      <c r="AA14" s="225">
        <f>INDEX(Drivers!$C$7:$AG$22,$G14,AA$9)</f>
        <v>5.64</v>
      </c>
      <c r="AB14" s="225">
        <f>INDEX(Drivers!$C$7:$AG$22,$G14,AB$9)</f>
        <v>5.88</v>
      </c>
      <c r="AC14" s="225">
        <f>INDEX(Drivers!$C$7:$AG$22,$G14,AC$9)</f>
        <v>6.08</v>
      </c>
      <c r="AD14" s="225">
        <f>INDEX(Drivers!$C$7:$AG$22,$G14,AD$9)</f>
        <v>6.21</v>
      </c>
      <c r="AE14" s="225">
        <f>INDEX(Drivers!$C$7:$AG$22,$G14,AE$9)</f>
        <v>6.36</v>
      </c>
      <c r="AF14" s="225">
        <f>INDEX(Drivers!$C$7:$AG$22,$G14,AF$9)</f>
        <v>6.52</v>
      </c>
      <c r="AG14" s="225">
        <f>INDEX(Drivers!$C$7:$AG$22,$G14,AG$9)</f>
        <v>6.66</v>
      </c>
      <c r="AH14" s="225">
        <f>INDEX(Drivers!$C$7:$AG$22,$G14,AH$9)</f>
        <v>6.83</v>
      </c>
      <c r="AI14" s="225">
        <f>INDEX(Drivers!$C$7:$AG$22,$G14,AI$9)</f>
        <v>7</v>
      </c>
      <c r="AJ14" s="225">
        <f>INDEX(Drivers!$C$7:$AG$22,$G14,AJ$9)</f>
        <v>7.17</v>
      </c>
      <c r="AK14" s="225">
        <f>INDEX(Drivers!$C$7:$AG$22,$G14,AK$9)</f>
        <v>7.34</v>
      </c>
      <c r="AL14" s="225">
        <f>INDEX(Drivers!$C$7:$AG$22,$G14,AL$9)</f>
        <v>7.52</v>
      </c>
      <c r="AM14" s="225">
        <f>INDEX(Drivers!$C$7:$AG$22,$G14,AM$9)</f>
        <v>8.08</v>
      </c>
      <c r="AN14" s="225">
        <f>INDEX(Drivers!$C$7:$AG$22,$G14,AN$9)</f>
        <v>8.82</v>
      </c>
      <c r="AO14" s="225">
        <f t="shared" si="4"/>
        <v>10.089999999999975</v>
      </c>
      <c r="AP14" s="225">
        <f t="shared" si="4"/>
        <v>11.389999999999986</v>
      </c>
    </row>
    <row r="15" spans="1:48">
      <c r="A15" s="225" t="s">
        <v>16</v>
      </c>
      <c r="B15" s="226" t="str">
        <f>[5]IND!B16</f>
        <v>NM</v>
      </c>
      <c r="C15" s="226" t="str">
        <f>[5]IND!A16</f>
        <v>N.M.M Products</v>
      </c>
      <c r="D15" s="225">
        <f>[5]IND!M16</f>
        <v>0</v>
      </c>
      <c r="F15" s="226" t="s">
        <v>293</v>
      </c>
      <c r="G15" s="225">
        <f>MATCH(B15,Drivers!$A$7:$A$22,0)</f>
        <v>9</v>
      </c>
      <c r="H15" s="226"/>
      <c r="I15" s="226"/>
      <c r="J15" s="225">
        <f>INDEX(Drivers!$C$7:$AG$22,$G15,J$9)</f>
        <v>14.11</v>
      </c>
      <c r="K15" s="225">
        <f>INDEX(Drivers!$C$7:$AG$22,$G15,K$9)</f>
        <v>14.52</v>
      </c>
      <c r="L15" s="225">
        <f>INDEX(Drivers!$C$7:$AG$22,$G15,L$9)</f>
        <v>14.79</v>
      </c>
      <c r="M15" s="225">
        <f>INDEX(Drivers!$C$7:$AG$22,$G15,M$9)</f>
        <v>15.03</v>
      </c>
      <c r="N15" s="225">
        <f>INDEX(Drivers!$C$7:$AG$22,$G15,N$9)</f>
        <v>15.21</v>
      </c>
      <c r="O15" s="225">
        <f>INDEX(Drivers!$C$7:$AG$22,$G15,O$9)</f>
        <v>15.35</v>
      </c>
      <c r="P15" s="225">
        <f>INDEX(Drivers!$C$7:$AG$22,$G15,P$9)</f>
        <v>15.51</v>
      </c>
      <c r="Q15" s="225">
        <f>INDEX(Drivers!$C$7:$AG$22,$G15,Q$9)</f>
        <v>15.54</v>
      </c>
      <c r="R15" s="225">
        <f>INDEX(Drivers!$C$7:$AG$22,$G15,R$9)</f>
        <v>14.21</v>
      </c>
      <c r="S15" s="225">
        <f>INDEX(Drivers!$C$7:$AG$22,$G15,S$9)</f>
        <v>14.6</v>
      </c>
      <c r="T15" s="225">
        <f>INDEX(Drivers!$C$7:$AG$22,$G15,T$9)</f>
        <v>14.95</v>
      </c>
      <c r="U15" s="225">
        <f>INDEX(Drivers!$C$7:$AG$22,$G15,U$9)</f>
        <v>15.3</v>
      </c>
      <c r="V15" s="225">
        <f>INDEX(Drivers!$C$7:$AG$22,$G15,V$9)</f>
        <v>15.64</v>
      </c>
      <c r="W15" s="225">
        <f>INDEX(Drivers!$C$7:$AG$22,$G15,W$9)</f>
        <v>16</v>
      </c>
      <c r="X15" s="225">
        <f>INDEX(Drivers!$C$7:$AG$22,$G15,X$9)</f>
        <v>16.440000000000001</v>
      </c>
      <c r="Y15" s="225">
        <f>INDEX(Drivers!$C$7:$AG$22,$G15,Y$9)</f>
        <v>16.88</v>
      </c>
      <c r="Z15" s="225">
        <f>INDEX(Drivers!$C$7:$AG$22,$G15,Z$9)</f>
        <v>17.34</v>
      </c>
      <c r="AA15" s="225">
        <f>INDEX(Drivers!$C$7:$AG$22,$G15,AA$9)</f>
        <v>17.8</v>
      </c>
      <c r="AB15" s="225">
        <f>INDEX(Drivers!$C$7:$AG$22,$G15,AB$9)</f>
        <v>18.27</v>
      </c>
      <c r="AC15" s="225">
        <f>INDEX(Drivers!$C$7:$AG$22,$G15,AC$9)</f>
        <v>18.809999999999999</v>
      </c>
      <c r="AD15" s="225">
        <f>INDEX(Drivers!$C$7:$AG$22,$G15,AD$9)</f>
        <v>19.32</v>
      </c>
      <c r="AE15" s="225">
        <f>INDEX(Drivers!$C$7:$AG$22,$G15,AE$9)</f>
        <v>19.88</v>
      </c>
      <c r="AF15" s="225">
        <f>INDEX(Drivers!$C$7:$AG$22,$G15,AF$9)</f>
        <v>20.49</v>
      </c>
      <c r="AG15" s="225">
        <f>INDEX(Drivers!$C$7:$AG$22,$G15,AG$9)</f>
        <v>21.14</v>
      </c>
      <c r="AH15" s="225">
        <f>INDEX(Drivers!$C$7:$AG$22,$G15,AH$9)</f>
        <v>21.81</v>
      </c>
      <c r="AI15" s="225">
        <f>INDEX(Drivers!$C$7:$AG$22,$G15,AI$9)</f>
        <v>22.5</v>
      </c>
      <c r="AJ15" s="225">
        <f>INDEX(Drivers!$C$7:$AG$22,$G15,AJ$9)</f>
        <v>23.19</v>
      </c>
      <c r="AK15" s="225">
        <f>INDEX(Drivers!$C$7:$AG$22,$G15,AK$9)</f>
        <v>23.92</v>
      </c>
      <c r="AL15" s="225">
        <f>INDEX(Drivers!$C$7:$AG$22,$G15,AL$9)</f>
        <v>24.68</v>
      </c>
      <c r="AM15" s="225">
        <f>INDEX(Drivers!$C$7:$AG$22,$G15,AM$9)</f>
        <v>28.99</v>
      </c>
      <c r="AN15" s="225">
        <f>INDEX(Drivers!$C$7:$AG$22,$G15,AN$9)</f>
        <v>34.44</v>
      </c>
      <c r="AO15" s="225">
        <f t="shared" si="4"/>
        <v>44.009999999999991</v>
      </c>
      <c r="AP15" s="225">
        <f t="shared" si="4"/>
        <v>53.769999999999982</v>
      </c>
    </row>
    <row r="16" spans="1:48">
      <c r="A16" s="225" t="s">
        <v>16</v>
      </c>
      <c r="B16" s="226" t="str">
        <f t="shared" ref="B16:D18" si="5">B15</f>
        <v>NM</v>
      </c>
      <c r="C16" s="226" t="str">
        <f t="shared" si="5"/>
        <v>N.M.M Products</v>
      </c>
      <c r="D16" s="225">
        <f t="shared" si="5"/>
        <v>0</v>
      </c>
      <c r="F16" s="226" t="s">
        <v>297</v>
      </c>
      <c r="G16" s="225">
        <f>MATCH(B16,Drivers!$A$7:$A$22,0)</f>
        <v>9</v>
      </c>
      <c r="H16" s="226"/>
      <c r="I16" s="226"/>
      <c r="J16" s="225">
        <f>INDEX(Drivers!$C$7:$AG$22,$G16,J$9)</f>
        <v>14.11</v>
      </c>
      <c r="K16" s="225">
        <f>INDEX(Drivers!$C$7:$AG$22,$G16,K$9)</f>
        <v>14.52</v>
      </c>
      <c r="L16" s="225">
        <f>INDEX(Drivers!$C$7:$AG$22,$G16,L$9)</f>
        <v>14.79</v>
      </c>
      <c r="M16" s="225">
        <f>INDEX(Drivers!$C$7:$AG$22,$G16,M$9)</f>
        <v>15.03</v>
      </c>
      <c r="N16" s="225">
        <f>INDEX(Drivers!$C$7:$AG$22,$G16,N$9)</f>
        <v>15.21</v>
      </c>
      <c r="O16" s="225">
        <f>INDEX(Drivers!$C$7:$AG$22,$G16,O$9)</f>
        <v>15.35</v>
      </c>
      <c r="P16" s="225">
        <f>INDEX(Drivers!$C$7:$AG$22,$G16,P$9)</f>
        <v>15.51</v>
      </c>
      <c r="Q16" s="225">
        <f>INDEX(Drivers!$C$7:$AG$22,$G16,Q$9)</f>
        <v>15.54</v>
      </c>
      <c r="R16" s="225">
        <f>INDEX(Drivers!$C$7:$AG$22,$G16,R$9)</f>
        <v>14.21</v>
      </c>
      <c r="S16" s="225">
        <f>INDEX(Drivers!$C$7:$AG$22,$G16,S$9)</f>
        <v>14.6</v>
      </c>
      <c r="T16" s="225">
        <f>INDEX(Drivers!$C$7:$AG$22,$G16,T$9)</f>
        <v>14.95</v>
      </c>
      <c r="U16" s="225">
        <f>INDEX(Drivers!$C$7:$AG$22,$G16,U$9)</f>
        <v>15.3</v>
      </c>
      <c r="V16" s="225">
        <f>INDEX(Drivers!$C$7:$AG$22,$G16,V$9)</f>
        <v>15.64</v>
      </c>
      <c r="W16" s="225">
        <f>INDEX(Drivers!$C$7:$AG$22,$G16,W$9)</f>
        <v>16</v>
      </c>
      <c r="X16" s="225">
        <f>INDEX(Drivers!$C$7:$AG$22,$G16,X$9)</f>
        <v>16.440000000000001</v>
      </c>
      <c r="Y16" s="225">
        <f>INDEX(Drivers!$C$7:$AG$22,$G16,Y$9)</f>
        <v>16.88</v>
      </c>
      <c r="Z16" s="225">
        <f>INDEX(Drivers!$C$7:$AG$22,$G16,Z$9)</f>
        <v>17.34</v>
      </c>
      <c r="AA16" s="225">
        <f>INDEX(Drivers!$C$7:$AG$22,$G16,AA$9)</f>
        <v>17.8</v>
      </c>
      <c r="AB16" s="225">
        <f>INDEX(Drivers!$C$7:$AG$22,$G16,AB$9)</f>
        <v>18.27</v>
      </c>
      <c r="AC16" s="225">
        <f>INDEX(Drivers!$C$7:$AG$22,$G16,AC$9)</f>
        <v>18.809999999999999</v>
      </c>
      <c r="AD16" s="225">
        <f>INDEX(Drivers!$C$7:$AG$22,$G16,AD$9)</f>
        <v>19.32</v>
      </c>
      <c r="AE16" s="225">
        <f>INDEX(Drivers!$C$7:$AG$22,$G16,AE$9)</f>
        <v>19.88</v>
      </c>
      <c r="AF16" s="225">
        <f>INDEX(Drivers!$C$7:$AG$22,$G16,AF$9)</f>
        <v>20.49</v>
      </c>
      <c r="AG16" s="225">
        <f>INDEX(Drivers!$C$7:$AG$22,$G16,AG$9)</f>
        <v>21.14</v>
      </c>
      <c r="AH16" s="225">
        <f>INDEX(Drivers!$C$7:$AG$22,$G16,AH$9)</f>
        <v>21.81</v>
      </c>
      <c r="AI16" s="225">
        <f>INDEX(Drivers!$C$7:$AG$22,$G16,AI$9)</f>
        <v>22.5</v>
      </c>
      <c r="AJ16" s="225">
        <f>INDEX(Drivers!$C$7:$AG$22,$G16,AJ$9)</f>
        <v>23.19</v>
      </c>
      <c r="AK16" s="225">
        <f>INDEX(Drivers!$C$7:$AG$22,$G16,AK$9)</f>
        <v>23.92</v>
      </c>
      <c r="AL16" s="225">
        <f>INDEX(Drivers!$C$7:$AG$22,$G16,AL$9)</f>
        <v>24.68</v>
      </c>
      <c r="AM16" s="225">
        <f>INDEX(Drivers!$C$7:$AG$22,$G16,AM$9)</f>
        <v>28.99</v>
      </c>
      <c r="AN16" s="225">
        <f>INDEX(Drivers!$C$7:$AG$22,$G16,AN$9)</f>
        <v>34.44</v>
      </c>
      <c r="AO16" s="225">
        <f t="shared" si="4"/>
        <v>44.009999999999991</v>
      </c>
      <c r="AP16" s="225">
        <f t="shared" si="4"/>
        <v>53.769999999999982</v>
      </c>
    </row>
    <row r="17" spans="1:42">
      <c r="A17" s="225" t="s">
        <v>16</v>
      </c>
      <c r="B17" s="226" t="str">
        <f t="shared" si="5"/>
        <v>NM</v>
      </c>
      <c r="C17" s="226" t="str">
        <f t="shared" si="5"/>
        <v>N.M.M Products</v>
      </c>
      <c r="D17" s="225">
        <f t="shared" si="5"/>
        <v>0</v>
      </c>
      <c r="F17" s="226" t="s">
        <v>298</v>
      </c>
      <c r="G17" s="225">
        <f>MATCH(B17,Drivers!$A$7:$A$22,0)</f>
        <v>9</v>
      </c>
      <c r="H17" s="226"/>
      <c r="I17" s="226"/>
      <c r="J17" s="225">
        <f>INDEX(Drivers!$C$7:$AG$22,$G17,J$9)</f>
        <v>14.11</v>
      </c>
      <c r="K17" s="225">
        <f>INDEX(Drivers!$C$7:$AG$22,$G17,K$9)</f>
        <v>14.52</v>
      </c>
      <c r="L17" s="225">
        <f>INDEX(Drivers!$C$7:$AG$22,$G17,L$9)</f>
        <v>14.79</v>
      </c>
      <c r="M17" s="225">
        <f>INDEX(Drivers!$C$7:$AG$22,$G17,M$9)</f>
        <v>15.03</v>
      </c>
      <c r="N17" s="225">
        <f>INDEX(Drivers!$C$7:$AG$22,$G17,N$9)</f>
        <v>15.21</v>
      </c>
      <c r="O17" s="225">
        <f>INDEX(Drivers!$C$7:$AG$22,$G17,O$9)</f>
        <v>15.35</v>
      </c>
      <c r="P17" s="225">
        <f>INDEX(Drivers!$C$7:$AG$22,$G17,P$9)</f>
        <v>15.51</v>
      </c>
      <c r="Q17" s="225">
        <f>INDEX(Drivers!$C$7:$AG$22,$G17,Q$9)</f>
        <v>15.54</v>
      </c>
      <c r="R17" s="225">
        <f>INDEX(Drivers!$C$7:$AG$22,$G17,R$9)</f>
        <v>14.21</v>
      </c>
      <c r="S17" s="225">
        <f>INDEX(Drivers!$C$7:$AG$22,$G17,S$9)</f>
        <v>14.6</v>
      </c>
      <c r="T17" s="225">
        <f>INDEX(Drivers!$C$7:$AG$22,$G17,T$9)</f>
        <v>14.95</v>
      </c>
      <c r="U17" s="225">
        <f>INDEX(Drivers!$C$7:$AG$22,$G17,U$9)</f>
        <v>15.3</v>
      </c>
      <c r="V17" s="225">
        <f>INDEX(Drivers!$C$7:$AG$22,$G17,V$9)</f>
        <v>15.64</v>
      </c>
      <c r="W17" s="225">
        <f>INDEX(Drivers!$C$7:$AG$22,$G17,W$9)</f>
        <v>16</v>
      </c>
      <c r="X17" s="225">
        <f>INDEX(Drivers!$C$7:$AG$22,$G17,X$9)</f>
        <v>16.440000000000001</v>
      </c>
      <c r="Y17" s="225">
        <f>INDEX(Drivers!$C$7:$AG$22,$G17,Y$9)</f>
        <v>16.88</v>
      </c>
      <c r="Z17" s="225">
        <f>INDEX(Drivers!$C$7:$AG$22,$G17,Z$9)</f>
        <v>17.34</v>
      </c>
      <c r="AA17" s="225">
        <f>INDEX(Drivers!$C$7:$AG$22,$G17,AA$9)</f>
        <v>17.8</v>
      </c>
      <c r="AB17" s="225">
        <f>INDEX(Drivers!$C$7:$AG$22,$G17,AB$9)</f>
        <v>18.27</v>
      </c>
      <c r="AC17" s="225">
        <f>INDEX(Drivers!$C$7:$AG$22,$G17,AC$9)</f>
        <v>18.809999999999999</v>
      </c>
      <c r="AD17" s="225">
        <f>INDEX(Drivers!$C$7:$AG$22,$G17,AD$9)</f>
        <v>19.32</v>
      </c>
      <c r="AE17" s="225">
        <f>INDEX(Drivers!$C$7:$AG$22,$G17,AE$9)</f>
        <v>19.88</v>
      </c>
      <c r="AF17" s="225">
        <f>INDEX(Drivers!$C$7:$AG$22,$G17,AF$9)</f>
        <v>20.49</v>
      </c>
      <c r="AG17" s="225">
        <f>INDEX(Drivers!$C$7:$AG$22,$G17,AG$9)</f>
        <v>21.14</v>
      </c>
      <c r="AH17" s="225">
        <f>INDEX(Drivers!$C$7:$AG$22,$G17,AH$9)</f>
        <v>21.81</v>
      </c>
      <c r="AI17" s="225">
        <f>INDEX(Drivers!$C$7:$AG$22,$G17,AI$9)</f>
        <v>22.5</v>
      </c>
      <c r="AJ17" s="225">
        <f>INDEX(Drivers!$C$7:$AG$22,$G17,AJ$9)</f>
        <v>23.19</v>
      </c>
      <c r="AK17" s="225">
        <f>INDEX(Drivers!$C$7:$AG$22,$G17,AK$9)</f>
        <v>23.92</v>
      </c>
      <c r="AL17" s="225">
        <f>INDEX(Drivers!$C$7:$AG$22,$G17,AL$9)</f>
        <v>24.68</v>
      </c>
      <c r="AM17" s="225">
        <f>INDEX(Drivers!$C$7:$AG$22,$G17,AM$9)</f>
        <v>28.99</v>
      </c>
      <c r="AN17" s="225">
        <f>INDEX(Drivers!$C$7:$AG$22,$G17,AN$9)</f>
        <v>34.44</v>
      </c>
      <c r="AO17" s="225">
        <f t="shared" si="4"/>
        <v>44.009999999999991</v>
      </c>
      <c r="AP17" s="225">
        <f t="shared" si="4"/>
        <v>53.769999999999982</v>
      </c>
    </row>
    <row r="18" spans="1:42">
      <c r="A18" s="225" t="s">
        <v>16</v>
      </c>
      <c r="B18" s="226" t="str">
        <f t="shared" si="5"/>
        <v>NM</v>
      </c>
      <c r="C18" s="226" t="str">
        <f t="shared" si="5"/>
        <v>N.M.M Products</v>
      </c>
      <c r="D18" s="225">
        <f t="shared" si="5"/>
        <v>0</v>
      </c>
      <c r="F18" s="226" t="s">
        <v>299</v>
      </c>
      <c r="G18" s="225">
        <f>MATCH(B18,Drivers!$A$7:$A$22,0)</f>
        <v>9</v>
      </c>
      <c r="H18" s="226"/>
      <c r="I18" s="226"/>
      <c r="J18" s="225">
        <f>INDEX(Drivers!$C$7:$AG$22,$G18,J$9)</f>
        <v>14.11</v>
      </c>
      <c r="K18" s="225">
        <f>INDEX(Drivers!$C$7:$AG$22,$G18,K$9)</f>
        <v>14.52</v>
      </c>
      <c r="L18" s="225">
        <f>INDEX(Drivers!$C$7:$AG$22,$G18,L$9)</f>
        <v>14.79</v>
      </c>
      <c r="M18" s="225">
        <f>INDEX(Drivers!$C$7:$AG$22,$G18,M$9)</f>
        <v>15.03</v>
      </c>
      <c r="N18" s="225">
        <f>INDEX(Drivers!$C$7:$AG$22,$G18,N$9)</f>
        <v>15.21</v>
      </c>
      <c r="O18" s="225">
        <f>INDEX(Drivers!$C$7:$AG$22,$G18,O$9)</f>
        <v>15.35</v>
      </c>
      <c r="P18" s="225">
        <f>INDEX(Drivers!$C$7:$AG$22,$G18,P$9)</f>
        <v>15.51</v>
      </c>
      <c r="Q18" s="225">
        <f>INDEX(Drivers!$C$7:$AG$22,$G18,Q$9)</f>
        <v>15.54</v>
      </c>
      <c r="R18" s="225">
        <f>INDEX(Drivers!$C$7:$AG$22,$G18,R$9)</f>
        <v>14.21</v>
      </c>
      <c r="S18" s="225">
        <f>INDEX(Drivers!$C$7:$AG$22,$G18,S$9)</f>
        <v>14.6</v>
      </c>
      <c r="T18" s="225">
        <f>INDEX(Drivers!$C$7:$AG$22,$G18,T$9)</f>
        <v>14.95</v>
      </c>
      <c r="U18" s="225">
        <f>INDEX(Drivers!$C$7:$AG$22,$G18,U$9)</f>
        <v>15.3</v>
      </c>
      <c r="V18" s="225">
        <f>INDEX(Drivers!$C$7:$AG$22,$G18,V$9)</f>
        <v>15.64</v>
      </c>
      <c r="W18" s="225">
        <f>INDEX(Drivers!$C$7:$AG$22,$G18,W$9)</f>
        <v>16</v>
      </c>
      <c r="X18" s="225">
        <f>INDEX(Drivers!$C$7:$AG$22,$G18,X$9)</f>
        <v>16.440000000000001</v>
      </c>
      <c r="Y18" s="225">
        <f>INDEX(Drivers!$C$7:$AG$22,$G18,Y$9)</f>
        <v>16.88</v>
      </c>
      <c r="Z18" s="225">
        <f>INDEX(Drivers!$C$7:$AG$22,$G18,Z$9)</f>
        <v>17.34</v>
      </c>
      <c r="AA18" s="225">
        <f>INDEX(Drivers!$C$7:$AG$22,$G18,AA$9)</f>
        <v>17.8</v>
      </c>
      <c r="AB18" s="225">
        <f>INDEX(Drivers!$C$7:$AG$22,$G18,AB$9)</f>
        <v>18.27</v>
      </c>
      <c r="AC18" s="225">
        <f>INDEX(Drivers!$C$7:$AG$22,$G18,AC$9)</f>
        <v>18.809999999999999</v>
      </c>
      <c r="AD18" s="225">
        <f>INDEX(Drivers!$C$7:$AG$22,$G18,AD$9)</f>
        <v>19.32</v>
      </c>
      <c r="AE18" s="225">
        <f>INDEX(Drivers!$C$7:$AG$22,$G18,AE$9)</f>
        <v>19.88</v>
      </c>
      <c r="AF18" s="225">
        <f>INDEX(Drivers!$C$7:$AG$22,$G18,AF$9)</f>
        <v>20.49</v>
      </c>
      <c r="AG18" s="225">
        <f>INDEX(Drivers!$C$7:$AG$22,$G18,AG$9)</f>
        <v>21.14</v>
      </c>
      <c r="AH18" s="225">
        <f>INDEX(Drivers!$C$7:$AG$22,$G18,AH$9)</f>
        <v>21.81</v>
      </c>
      <c r="AI18" s="225">
        <f>INDEX(Drivers!$C$7:$AG$22,$G18,AI$9)</f>
        <v>22.5</v>
      </c>
      <c r="AJ18" s="225">
        <f>INDEX(Drivers!$C$7:$AG$22,$G18,AJ$9)</f>
        <v>23.19</v>
      </c>
      <c r="AK18" s="225">
        <f>INDEX(Drivers!$C$7:$AG$22,$G18,AK$9)</f>
        <v>23.92</v>
      </c>
      <c r="AL18" s="225">
        <f>INDEX(Drivers!$C$7:$AG$22,$G18,AL$9)</f>
        <v>24.68</v>
      </c>
      <c r="AM18" s="225">
        <f>INDEX(Drivers!$C$7:$AG$22,$G18,AM$9)</f>
        <v>28.99</v>
      </c>
      <c r="AN18" s="225">
        <f>INDEX(Drivers!$C$7:$AG$22,$G18,AN$9)</f>
        <v>34.44</v>
      </c>
      <c r="AO18" s="225">
        <f t="shared" si="4"/>
        <v>44.009999999999991</v>
      </c>
      <c r="AP18" s="225">
        <f t="shared" si="4"/>
        <v>53.769999999999982</v>
      </c>
    </row>
    <row r="19" spans="1:42">
      <c r="A19" s="225" t="s">
        <v>16</v>
      </c>
      <c r="B19" s="226" t="str">
        <f>[5]IND!B17</f>
        <v>FB</v>
      </c>
      <c r="C19" s="226" t="str">
        <f>[5]IND!A17</f>
        <v>Food, Beverage &amp; Tabacco</v>
      </c>
      <c r="D19" s="225">
        <f>[5]IND!M17</f>
        <v>1</v>
      </c>
      <c r="F19" s="226"/>
      <c r="G19" s="225">
        <f>MATCH(B19,Drivers!$A$7:$A$22,0)</f>
        <v>4</v>
      </c>
      <c r="H19" s="226"/>
      <c r="I19" s="226"/>
      <c r="J19" s="225">
        <f>INDEX(Drivers!$C$7:$AG$22,$G19,J$9)</f>
        <v>93.1</v>
      </c>
      <c r="K19" s="225">
        <f>INDEX(Drivers!$C$7:$AG$22,$G19,K$9)</f>
        <v>94.81</v>
      </c>
      <c r="L19" s="225">
        <f>INDEX(Drivers!$C$7:$AG$22,$G19,L$9)</f>
        <v>96.04</v>
      </c>
      <c r="M19" s="225">
        <f>INDEX(Drivers!$C$7:$AG$22,$G19,M$9)</f>
        <v>96.13</v>
      </c>
      <c r="N19" s="225">
        <f>INDEX(Drivers!$C$7:$AG$22,$G19,N$9)</f>
        <v>97.44</v>
      </c>
      <c r="O19" s="225">
        <f>INDEX(Drivers!$C$7:$AG$22,$G19,O$9)</f>
        <v>97.81</v>
      </c>
      <c r="P19" s="225">
        <f>INDEX(Drivers!$C$7:$AG$22,$G19,P$9)</f>
        <v>98.48</v>
      </c>
      <c r="Q19" s="225">
        <f>INDEX(Drivers!$C$7:$AG$22,$G19,Q$9)</f>
        <v>97.71</v>
      </c>
      <c r="R19" s="225">
        <f>INDEX(Drivers!$C$7:$AG$22,$G19,R$9)</f>
        <v>92.79</v>
      </c>
      <c r="S19" s="225">
        <f>INDEX(Drivers!$C$7:$AG$22,$G19,S$9)</f>
        <v>95.58</v>
      </c>
      <c r="T19" s="225">
        <f>INDEX(Drivers!$C$7:$AG$22,$G19,T$9)</f>
        <v>98.13</v>
      </c>
      <c r="U19" s="225">
        <f>INDEX(Drivers!$C$7:$AG$22,$G19,U$9)</f>
        <v>100.22</v>
      </c>
      <c r="V19" s="225">
        <f>INDEX(Drivers!$C$7:$AG$22,$G19,V$9)</f>
        <v>102.18</v>
      </c>
      <c r="W19" s="225">
        <f>INDEX(Drivers!$C$7:$AG$22,$G19,W$9)</f>
        <v>104.28</v>
      </c>
      <c r="X19" s="225">
        <f>INDEX(Drivers!$C$7:$AG$22,$G19,X$9)</f>
        <v>107.16</v>
      </c>
      <c r="Y19" s="225">
        <f>INDEX(Drivers!$C$7:$AG$22,$G19,Y$9)</f>
        <v>109.9</v>
      </c>
      <c r="Z19" s="225">
        <f>INDEX(Drivers!$C$7:$AG$22,$G19,Z$9)</f>
        <v>112.65</v>
      </c>
      <c r="AA19" s="225">
        <f>INDEX(Drivers!$C$7:$AG$22,$G19,AA$9)</f>
        <v>115.22</v>
      </c>
      <c r="AB19" s="225">
        <f>INDEX(Drivers!$C$7:$AG$22,$G19,AB$9)</f>
        <v>117.84</v>
      </c>
      <c r="AC19" s="225">
        <f>INDEX(Drivers!$C$7:$AG$22,$G19,AC$9)</f>
        <v>120.44</v>
      </c>
      <c r="AD19" s="225">
        <f>INDEX(Drivers!$C$7:$AG$22,$G19,AD$9)</f>
        <v>122.85</v>
      </c>
      <c r="AE19" s="225">
        <f>INDEX(Drivers!$C$7:$AG$22,$G19,AE$9)</f>
        <v>125.47</v>
      </c>
      <c r="AF19" s="225">
        <f>INDEX(Drivers!$C$7:$AG$22,$G19,AF$9)</f>
        <v>128.21</v>
      </c>
      <c r="AG19" s="225">
        <f>INDEX(Drivers!$C$7:$AG$22,$G19,AG$9)</f>
        <v>131.01</v>
      </c>
      <c r="AH19" s="225">
        <f>INDEX(Drivers!$C$7:$AG$22,$G19,AH$9)</f>
        <v>134.12</v>
      </c>
      <c r="AI19" s="225">
        <f>INDEX(Drivers!$C$7:$AG$22,$G19,AI$9)</f>
        <v>137.33000000000001</v>
      </c>
      <c r="AJ19" s="225">
        <f>INDEX(Drivers!$C$7:$AG$22,$G19,AJ$9)</f>
        <v>140.49</v>
      </c>
      <c r="AK19" s="225">
        <f>INDEX(Drivers!$C$7:$AG$22,$G19,AK$9)</f>
        <v>143.72</v>
      </c>
      <c r="AL19" s="225">
        <f>INDEX(Drivers!$C$7:$AG$22,$G19,AL$9)</f>
        <v>147.09</v>
      </c>
      <c r="AM19" s="225">
        <f>INDEX(Drivers!$C$7:$AG$22,$G19,AM$9)</f>
        <v>164.01</v>
      </c>
      <c r="AN19" s="225">
        <f>INDEX(Drivers!$C$7:$AG$22,$G19,AN$9)</f>
        <v>184.39</v>
      </c>
      <c r="AO19" s="225">
        <f t="shared" si="4"/>
        <v>221.11333333333278</v>
      </c>
      <c r="AP19" s="225">
        <f t="shared" si="4"/>
        <v>258.41333333333296</v>
      </c>
    </row>
    <row r="20" spans="1:42">
      <c r="A20" s="225" t="s">
        <v>16</v>
      </c>
      <c r="B20" s="226" t="str">
        <f>[5]IND!B18</f>
        <v>PP</v>
      </c>
      <c r="C20" s="226" t="str">
        <f>[5]IND!A18</f>
        <v>Pulp &amp; Paper Products</v>
      </c>
      <c r="D20" s="225">
        <f>[5]IND!M18</f>
        <v>0</v>
      </c>
      <c r="F20" s="226" t="s">
        <v>300</v>
      </c>
      <c r="G20" s="225">
        <f>MATCH(B20,Drivers!$A$7:$A$22,0)</f>
        <v>12</v>
      </c>
      <c r="H20" s="226"/>
      <c r="I20" s="226"/>
      <c r="J20" s="225">
        <f>INDEX(Drivers!$C$7:$AG$22,$G20,J$9)</f>
        <v>17.78</v>
      </c>
      <c r="K20" s="225">
        <f>INDEX(Drivers!$C$7:$AG$22,$G20,K$9)</f>
        <v>18.190000000000001</v>
      </c>
      <c r="L20" s="225">
        <f>INDEX(Drivers!$C$7:$AG$22,$G20,L$9)</f>
        <v>18.54</v>
      </c>
      <c r="M20" s="225">
        <f>INDEX(Drivers!$C$7:$AG$22,$G20,M$9)</f>
        <v>18.73</v>
      </c>
      <c r="N20" s="225">
        <f>INDEX(Drivers!$C$7:$AG$22,$G20,N$9)</f>
        <v>19.13</v>
      </c>
      <c r="O20" s="225">
        <f>INDEX(Drivers!$C$7:$AG$22,$G20,O$9)</f>
        <v>19.23</v>
      </c>
      <c r="P20" s="225">
        <f>INDEX(Drivers!$C$7:$AG$22,$G20,P$9)</f>
        <v>19.5</v>
      </c>
      <c r="Q20" s="225">
        <f>INDEX(Drivers!$C$7:$AG$22,$G20,Q$9)</f>
        <v>19.52</v>
      </c>
      <c r="R20" s="225">
        <f>INDEX(Drivers!$C$7:$AG$22,$G20,R$9)</f>
        <v>18.16</v>
      </c>
      <c r="S20" s="225">
        <f>INDEX(Drivers!$C$7:$AG$22,$G20,S$9)</f>
        <v>18.68</v>
      </c>
      <c r="T20" s="225">
        <f>INDEX(Drivers!$C$7:$AG$22,$G20,T$9)</f>
        <v>19.149999999999999</v>
      </c>
      <c r="U20" s="225">
        <f>INDEX(Drivers!$C$7:$AG$22,$G20,U$9)</f>
        <v>19.61</v>
      </c>
      <c r="V20" s="225">
        <f>INDEX(Drivers!$C$7:$AG$22,$G20,V$9)</f>
        <v>20.04</v>
      </c>
      <c r="W20" s="225">
        <f>INDEX(Drivers!$C$7:$AG$22,$G20,W$9)</f>
        <v>20.51</v>
      </c>
      <c r="X20" s="225">
        <f>INDEX(Drivers!$C$7:$AG$22,$G20,X$9)</f>
        <v>21.11</v>
      </c>
      <c r="Y20" s="225">
        <f>INDEX(Drivers!$C$7:$AG$22,$G20,Y$9)</f>
        <v>21.69</v>
      </c>
      <c r="Z20" s="225">
        <f>INDEX(Drivers!$C$7:$AG$22,$G20,Z$9)</f>
        <v>22.28</v>
      </c>
      <c r="AA20" s="225">
        <f>INDEX(Drivers!$C$7:$AG$22,$G20,AA$9)</f>
        <v>22.83</v>
      </c>
      <c r="AB20" s="225">
        <f>INDEX(Drivers!$C$7:$AG$22,$G20,AB$9)</f>
        <v>23.42</v>
      </c>
      <c r="AC20" s="225">
        <f>INDEX(Drivers!$C$7:$AG$22,$G20,AC$9)</f>
        <v>24.02</v>
      </c>
      <c r="AD20" s="225">
        <f>INDEX(Drivers!$C$7:$AG$22,$G20,AD$9)</f>
        <v>24.61</v>
      </c>
      <c r="AE20" s="225">
        <f>INDEX(Drivers!$C$7:$AG$22,$G20,AE$9)</f>
        <v>25.26</v>
      </c>
      <c r="AF20" s="225">
        <f>INDEX(Drivers!$C$7:$AG$22,$G20,AF$9)</f>
        <v>25.94</v>
      </c>
      <c r="AG20" s="225">
        <f>INDEX(Drivers!$C$7:$AG$22,$G20,AG$9)</f>
        <v>26.65</v>
      </c>
      <c r="AH20" s="225">
        <f>INDEX(Drivers!$C$7:$AG$22,$G20,AH$9)</f>
        <v>27.42</v>
      </c>
      <c r="AI20" s="225">
        <f>INDEX(Drivers!$C$7:$AG$22,$G20,AI$9)</f>
        <v>28.22</v>
      </c>
      <c r="AJ20" s="225">
        <f>INDEX(Drivers!$C$7:$AG$22,$G20,AJ$9)</f>
        <v>29.03</v>
      </c>
      <c r="AK20" s="225">
        <f>INDEX(Drivers!$C$7:$AG$22,$G20,AK$9)</f>
        <v>29.88</v>
      </c>
      <c r="AL20" s="225">
        <f>INDEX(Drivers!$C$7:$AG$22,$G20,AL$9)</f>
        <v>30.78</v>
      </c>
      <c r="AM20" s="225">
        <f>INDEX(Drivers!$C$7:$AG$22,$G20,AM$9)</f>
        <v>35.619999999999997</v>
      </c>
      <c r="AN20" s="225">
        <f>INDEX(Drivers!$C$7:$AG$22,$G20,AN$9)</f>
        <v>41.7</v>
      </c>
      <c r="AO20" s="225">
        <f t="shared" si="4"/>
        <v>52.413333333332957</v>
      </c>
      <c r="AP20" s="225">
        <f t="shared" si="4"/>
        <v>63.33333333333303</v>
      </c>
    </row>
    <row r="21" spans="1:42">
      <c r="A21" s="225" t="s">
        <v>16</v>
      </c>
      <c r="B21" s="226" t="str">
        <f>B20</f>
        <v>PP</v>
      </c>
      <c r="C21" s="226" t="str">
        <f>C20</f>
        <v>Pulp &amp; Paper Products</v>
      </c>
      <c r="D21" s="225">
        <f>D20</f>
        <v>0</v>
      </c>
      <c r="F21" s="226" t="s">
        <v>301</v>
      </c>
      <c r="G21" s="225">
        <f>MATCH(B21,Drivers!$A$7:$A$22,0)</f>
        <v>12</v>
      </c>
      <c r="H21" s="226"/>
      <c r="I21" s="226"/>
      <c r="J21" s="225">
        <f>INDEX(Drivers!$C$7:$AG$22,$G21,J$9)</f>
        <v>17.78</v>
      </c>
      <c r="K21" s="225">
        <f>INDEX(Drivers!$C$7:$AG$22,$G21,K$9)</f>
        <v>18.190000000000001</v>
      </c>
      <c r="L21" s="225">
        <f>INDEX(Drivers!$C$7:$AG$22,$G21,L$9)</f>
        <v>18.54</v>
      </c>
      <c r="M21" s="225">
        <f>INDEX(Drivers!$C$7:$AG$22,$G21,M$9)</f>
        <v>18.73</v>
      </c>
      <c r="N21" s="225">
        <f>INDEX(Drivers!$C$7:$AG$22,$G21,N$9)</f>
        <v>19.13</v>
      </c>
      <c r="O21" s="225">
        <f>INDEX(Drivers!$C$7:$AG$22,$G21,O$9)</f>
        <v>19.23</v>
      </c>
      <c r="P21" s="225">
        <f>INDEX(Drivers!$C$7:$AG$22,$G21,P$9)</f>
        <v>19.5</v>
      </c>
      <c r="Q21" s="225">
        <f>INDEX(Drivers!$C$7:$AG$22,$G21,Q$9)</f>
        <v>19.52</v>
      </c>
      <c r="R21" s="225">
        <f>INDEX(Drivers!$C$7:$AG$22,$G21,R$9)</f>
        <v>18.16</v>
      </c>
      <c r="S21" s="225">
        <f>INDEX(Drivers!$C$7:$AG$22,$G21,S$9)</f>
        <v>18.68</v>
      </c>
      <c r="T21" s="225">
        <f>INDEX(Drivers!$C$7:$AG$22,$G21,T$9)</f>
        <v>19.149999999999999</v>
      </c>
      <c r="U21" s="225">
        <f>INDEX(Drivers!$C$7:$AG$22,$G21,U$9)</f>
        <v>19.61</v>
      </c>
      <c r="V21" s="225">
        <f>INDEX(Drivers!$C$7:$AG$22,$G21,V$9)</f>
        <v>20.04</v>
      </c>
      <c r="W21" s="225">
        <f>INDEX(Drivers!$C$7:$AG$22,$G21,W$9)</f>
        <v>20.51</v>
      </c>
      <c r="X21" s="225">
        <f>INDEX(Drivers!$C$7:$AG$22,$G21,X$9)</f>
        <v>21.11</v>
      </c>
      <c r="Y21" s="225">
        <f>INDEX(Drivers!$C$7:$AG$22,$G21,Y$9)</f>
        <v>21.69</v>
      </c>
      <c r="Z21" s="225">
        <f>INDEX(Drivers!$C$7:$AG$22,$G21,Z$9)</f>
        <v>22.28</v>
      </c>
      <c r="AA21" s="225">
        <f>INDEX(Drivers!$C$7:$AG$22,$G21,AA$9)</f>
        <v>22.83</v>
      </c>
      <c r="AB21" s="225">
        <f>INDEX(Drivers!$C$7:$AG$22,$G21,AB$9)</f>
        <v>23.42</v>
      </c>
      <c r="AC21" s="225">
        <f>INDEX(Drivers!$C$7:$AG$22,$G21,AC$9)</f>
        <v>24.02</v>
      </c>
      <c r="AD21" s="225">
        <f>INDEX(Drivers!$C$7:$AG$22,$G21,AD$9)</f>
        <v>24.61</v>
      </c>
      <c r="AE21" s="225">
        <f>INDEX(Drivers!$C$7:$AG$22,$G21,AE$9)</f>
        <v>25.26</v>
      </c>
      <c r="AF21" s="225">
        <f>INDEX(Drivers!$C$7:$AG$22,$G21,AF$9)</f>
        <v>25.94</v>
      </c>
      <c r="AG21" s="225">
        <f>INDEX(Drivers!$C$7:$AG$22,$G21,AG$9)</f>
        <v>26.65</v>
      </c>
      <c r="AH21" s="225">
        <f>INDEX(Drivers!$C$7:$AG$22,$G21,AH$9)</f>
        <v>27.42</v>
      </c>
      <c r="AI21" s="225">
        <f>INDEX(Drivers!$C$7:$AG$22,$G21,AI$9)</f>
        <v>28.22</v>
      </c>
      <c r="AJ21" s="225">
        <f>INDEX(Drivers!$C$7:$AG$22,$G21,AJ$9)</f>
        <v>29.03</v>
      </c>
      <c r="AK21" s="225">
        <f>INDEX(Drivers!$C$7:$AG$22,$G21,AK$9)</f>
        <v>29.88</v>
      </c>
      <c r="AL21" s="225">
        <f>INDEX(Drivers!$C$7:$AG$22,$G21,AL$9)</f>
        <v>30.78</v>
      </c>
      <c r="AM21" s="225">
        <f>INDEX(Drivers!$C$7:$AG$22,$G21,AM$9)</f>
        <v>35.619999999999997</v>
      </c>
      <c r="AN21" s="225">
        <f>INDEX(Drivers!$C$7:$AG$22,$G21,AN$9)</f>
        <v>41.7</v>
      </c>
      <c r="AO21" s="225">
        <f t="shared" si="4"/>
        <v>52.413333333332957</v>
      </c>
      <c r="AP21" s="225">
        <f t="shared" si="4"/>
        <v>63.33333333333303</v>
      </c>
    </row>
    <row r="22" spans="1:42">
      <c r="A22" s="225" t="s">
        <v>16</v>
      </c>
      <c r="B22" s="226" t="str">
        <f>[5]IND!B19</f>
        <v>OT</v>
      </c>
      <c r="C22" s="226" t="str">
        <f>[5]IND!A19</f>
        <v>Other</v>
      </c>
      <c r="D22" s="225">
        <f>[5]IND!M19</f>
        <v>1</v>
      </c>
      <c r="F22" s="226"/>
      <c r="G22" s="225">
        <f>MATCH(B22,Drivers!$A$7:$A$22,0)</f>
        <v>10</v>
      </c>
      <c r="H22" s="226"/>
      <c r="I22" s="226"/>
      <c r="J22" s="225">
        <f>INDEX(Drivers!$C$7:$AG$22,$G22,J$9)</f>
        <v>235.5</v>
      </c>
      <c r="K22" s="225">
        <f>INDEX(Drivers!$C$7:$AG$22,$G22,K$9)</f>
        <v>241.63</v>
      </c>
      <c r="L22" s="225">
        <f>INDEX(Drivers!$C$7:$AG$22,$G22,L$9)</f>
        <v>245.65</v>
      </c>
      <c r="M22" s="225">
        <f>INDEX(Drivers!$C$7:$AG$22,$G22,M$9)</f>
        <v>248.47</v>
      </c>
      <c r="N22" s="225">
        <f>INDEX(Drivers!$C$7:$AG$22,$G22,N$9)</f>
        <v>251.07</v>
      </c>
      <c r="O22" s="225">
        <f>INDEX(Drivers!$C$7:$AG$22,$G22,O$9)</f>
        <v>252.54</v>
      </c>
      <c r="P22" s="225">
        <f>INDEX(Drivers!$C$7:$AG$22,$G22,P$9)</f>
        <v>254.74</v>
      </c>
      <c r="Q22" s="225">
        <f>INDEX(Drivers!$C$7:$AG$22,$G22,Q$9)</f>
        <v>254.67</v>
      </c>
      <c r="R22" s="225">
        <f>INDEX(Drivers!$C$7:$AG$22,$G22,R$9)</f>
        <v>230.24</v>
      </c>
      <c r="S22" s="225">
        <f>INDEX(Drivers!$C$7:$AG$22,$G22,S$9)</f>
        <v>236.69</v>
      </c>
      <c r="T22" s="225">
        <f>INDEX(Drivers!$C$7:$AG$22,$G22,T$9)</f>
        <v>242.59</v>
      </c>
      <c r="U22" s="225">
        <f>INDEX(Drivers!$C$7:$AG$22,$G22,U$9)</f>
        <v>248.33</v>
      </c>
      <c r="V22" s="225">
        <f>INDEX(Drivers!$C$7:$AG$22,$G22,V$9)</f>
        <v>253.83</v>
      </c>
      <c r="W22" s="225">
        <f>INDEX(Drivers!$C$7:$AG$22,$G22,W$9)</f>
        <v>259.61</v>
      </c>
      <c r="X22" s="225">
        <f>INDEX(Drivers!$C$7:$AG$22,$G22,X$9)</f>
        <v>266.92</v>
      </c>
      <c r="Y22" s="225">
        <f>INDEX(Drivers!$C$7:$AG$22,$G22,Y$9)</f>
        <v>274.13</v>
      </c>
      <c r="Z22" s="225">
        <f>INDEX(Drivers!$C$7:$AG$22,$G22,Z$9)</f>
        <v>281.63</v>
      </c>
      <c r="AA22" s="225">
        <f>INDEX(Drivers!$C$7:$AG$22,$G22,AA$9)</f>
        <v>289.23</v>
      </c>
      <c r="AB22" s="225">
        <f>INDEX(Drivers!$C$7:$AG$22,$G22,AB$9)</f>
        <v>297.02</v>
      </c>
      <c r="AC22" s="225">
        <f>INDEX(Drivers!$C$7:$AG$22,$G22,AC$9)</f>
        <v>305.64</v>
      </c>
      <c r="AD22" s="225">
        <f>INDEX(Drivers!$C$7:$AG$22,$G22,AD$9)</f>
        <v>313.91000000000003</v>
      </c>
      <c r="AE22" s="225">
        <f>INDEX(Drivers!$C$7:$AG$22,$G22,AE$9)</f>
        <v>323.06</v>
      </c>
      <c r="AF22" s="225">
        <f>INDEX(Drivers!$C$7:$AG$22,$G22,AF$9)</f>
        <v>332.87</v>
      </c>
      <c r="AG22" s="225">
        <f>INDEX(Drivers!$C$7:$AG$22,$G22,AG$9)</f>
        <v>343.27</v>
      </c>
      <c r="AH22" s="225">
        <f>INDEX(Drivers!$C$7:$AG$22,$G22,AH$9)</f>
        <v>354.09</v>
      </c>
      <c r="AI22" s="225">
        <f>INDEX(Drivers!$C$7:$AG$22,$G22,AI$9)</f>
        <v>365.3</v>
      </c>
      <c r="AJ22" s="225">
        <f>INDEX(Drivers!$C$7:$AG$22,$G22,AJ$9)</f>
        <v>376.62</v>
      </c>
      <c r="AK22" s="225">
        <f>INDEX(Drivers!$C$7:$AG$22,$G22,AK$9)</f>
        <v>388.36</v>
      </c>
      <c r="AL22" s="225">
        <f>INDEX(Drivers!$C$7:$AG$22,$G22,AL$9)</f>
        <v>400.79</v>
      </c>
      <c r="AM22" s="225">
        <f>INDEX(Drivers!$C$7:$AG$22,$G22,AM$9)</f>
        <v>469.74</v>
      </c>
      <c r="AN22" s="225">
        <f>INDEX(Drivers!$C$7:$AG$22,$G22,AN$9)</f>
        <v>556.72</v>
      </c>
      <c r="AO22" s="225">
        <f t="shared" si="4"/>
        <v>709.64500000000044</v>
      </c>
      <c r="AP22" s="225">
        <f t="shared" si="4"/>
        <v>865.57499999999709</v>
      </c>
    </row>
    <row r="23" spans="1:42">
      <c r="A23" s="225" t="s">
        <v>16</v>
      </c>
      <c r="B23" s="226"/>
    </row>
    <row r="24" spans="1:42" ht="15.75" thickBot="1">
      <c r="A24" s="225" t="s">
        <v>16</v>
      </c>
      <c r="B24" s="14" t="s">
        <v>291</v>
      </c>
      <c r="C24" s="14"/>
      <c r="D24" s="14"/>
      <c r="E24" s="14"/>
      <c r="F24" s="14"/>
    </row>
    <row r="25" spans="1:42">
      <c r="A25" s="225" t="s">
        <v>16</v>
      </c>
      <c r="B25" s="225" t="s">
        <v>9</v>
      </c>
      <c r="C25" s="225" t="s">
        <v>10</v>
      </c>
      <c r="D25" s="225" t="s">
        <v>281</v>
      </c>
      <c r="E25" s="225" t="s">
        <v>280</v>
      </c>
    </row>
    <row r="26" spans="1:42">
      <c r="A26" s="61" t="str">
        <f>IF(D10,"*","")</f>
        <v>*</v>
      </c>
      <c r="B26" s="22" t="s">
        <v>288</v>
      </c>
      <c r="C26" s="23" t="s">
        <v>137</v>
      </c>
      <c r="D26" s="61">
        <f t="shared" ref="D26:D38" si="6">F10</f>
        <v>0</v>
      </c>
      <c r="E26" s="23" t="s">
        <v>137</v>
      </c>
      <c r="F26" s="23" t="s">
        <v>137</v>
      </c>
      <c r="G26" s="23" t="s">
        <v>137</v>
      </c>
      <c r="H26" s="23" t="s">
        <v>137</v>
      </c>
      <c r="I26" s="22">
        <v>0</v>
      </c>
      <c r="J26" s="131">
        <v>0</v>
      </c>
      <c r="K26" s="225">
        <f t="shared" ref="K26:AP34" si="7">J26*K10/J10</f>
        <v>0</v>
      </c>
      <c r="L26" s="225">
        <f t="shared" si="7"/>
        <v>0</v>
      </c>
      <c r="M26" s="225">
        <f t="shared" si="7"/>
        <v>0</v>
      </c>
      <c r="N26" s="225">
        <f t="shared" si="7"/>
        <v>0</v>
      </c>
      <c r="O26" s="225">
        <f t="shared" si="7"/>
        <v>0</v>
      </c>
      <c r="P26" s="225">
        <f t="shared" si="7"/>
        <v>0</v>
      </c>
      <c r="Q26" s="225">
        <f t="shared" si="7"/>
        <v>0</v>
      </c>
      <c r="R26" s="225">
        <f t="shared" si="7"/>
        <v>0</v>
      </c>
      <c r="S26" s="225">
        <f t="shared" si="7"/>
        <v>0</v>
      </c>
      <c r="T26" s="225">
        <f t="shared" si="7"/>
        <v>0</v>
      </c>
      <c r="U26" s="225">
        <f t="shared" si="7"/>
        <v>0</v>
      </c>
      <c r="V26" s="225">
        <f t="shared" si="7"/>
        <v>0</v>
      </c>
      <c r="W26" s="225">
        <f t="shared" si="7"/>
        <v>0</v>
      </c>
      <c r="X26" s="225">
        <f t="shared" si="7"/>
        <v>0</v>
      </c>
      <c r="Y26" s="225">
        <f t="shared" si="7"/>
        <v>0</v>
      </c>
      <c r="Z26" s="225">
        <f t="shared" si="7"/>
        <v>0</v>
      </c>
      <c r="AA26" s="225">
        <f t="shared" si="7"/>
        <v>0</v>
      </c>
      <c r="AB26" s="225">
        <f t="shared" si="7"/>
        <v>0</v>
      </c>
      <c r="AC26" s="225">
        <f t="shared" si="7"/>
        <v>0</v>
      </c>
      <c r="AD26" s="225">
        <f t="shared" si="7"/>
        <v>0</v>
      </c>
      <c r="AE26" s="225">
        <f t="shared" si="7"/>
        <v>0</v>
      </c>
      <c r="AF26" s="225">
        <f t="shared" si="7"/>
        <v>0</v>
      </c>
      <c r="AG26" s="225">
        <f t="shared" si="7"/>
        <v>0</v>
      </c>
      <c r="AH26" s="225">
        <f t="shared" si="7"/>
        <v>0</v>
      </c>
      <c r="AI26" s="225">
        <f t="shared" si="7"/>
        <v>0</v>
      </c>
      <c r="AJ26" s="225">
        <f t="shared" si="7"/>
        <v>0</v>
      </c>
      <c r="AK26" s="225">
        <f t="shared" si="7"/>
        <v>0</v>
      </c>
      <c r="AL26" s="225">
        <f t="shared" si="7"/>
        <v>0</v>
      </c>
      <c r="AM26" s="225">
        <f t="shared" si="7"/>
        <v>0</v>
      </c>
      <c r="AN26" s="225">
        <f t="shared" si="7"/>
        <v>0</v>
      </c>
      <c r="AO26" s="225">
        <f t="shared" si="7"/>
        <v>0</v>
      </c>
      <c r="AP26" s="225">
        <f t="shared" si="7"/>
        <v>0</v>
      </c>
    </row>
    <row r="27" spans="1:42">
      <c r="A27" s="61" t="str">
        <f>IF(D11,"*","")</f>
        <v/>
      </c>
      <c r="B27" s="22" t="s">
        <v>288</v>
      </c>
      <c r="C27" s="23" t="s">
        <v>137</v>
      </c>
      <c r="D27" s="61" t="str">
        <f t="shared" si="6"/>
        <v>IFAM</v>
      </c>
      <c r="E27" s="23" t="s">
        <v>137</v>
      </c>
      <c r="F27" s="23" t="s">
        <v>137</v>
      </c>
      <c r="G27" s="23" t="s">
        <v>137</v>
      </c>
      <c r="H27" s="23" t="s">
        <v>137</v>
      </c>
      <c r="I27" s="22">
        <v>0</v>
      </c>
      <c r="J27" s="164">
        <f>'[5]FA-TSData'!J2</f>
        <v>4.0820999999999996</v>
      </c>
      <c r="K27" s="164">
        <f>'[5]FA-TSData'!K2</f>
        <v>4.1753999999999998</v>
      </c>
      <c r="L27" s="164">
        <f>'[5]FA-TSData'!L2</f>
        <v>4.8628999999999998</v>
      </c>
      <c r="M27" s="164">
        <f>'[5]FA-TSData'!M2</f>
        <v>4.4805999999999999</v>
      </c>
      <c r="N27" s="164">
        <f>'[5]FA-TSData'!N2</f>
        <v>4.3260612235437241</v>
      </c>
      <c r="O27" s="164">
        <f>'[5]FA-TSData'!O2</f>
        <v>4.372754104082464</v>
      </c>
      <c r="P27" s="225">
        <f>O27*P11/O11</f>
        <v>4.3281858435822027</v>
      </c>
      <c r="Q27" s="225">
        <f t="shared" si="7"/>
        <v>4.255661128768141</v>
      </c>
      <c r="R27" s="225">
        <f t="shared" si="7"/>
        <v>3.911270024902485</v>
      </c>
      <c r="S27" s="225">
        <f t="shared" si="7"/>
        <v>3.9783249986551508</v>
      </c>
      <c r="T27" s="225">
        <f t="shared" si="7"/>
        <v>4.0324146602622868</v>
      </c>
      <c r="U27" s="225">
        <f t="shared" si="7"/>
        <v>4.0828578278284908</v>
      </c>
      <c r="V27" s="225">
        <f t="shared" si="7"/>
        <v>4.130869999367409</v>
      </c>
      <c r="W27" s="225">
        <f t="shared" si="7"/>
        <v>4.1963043091018832</v>
      </c>
      <c r="X27" s="225">
        <f t="shared" si="7"/>
        <v>4.2986087252502108</v>
      </c>
      <c r="Y27" s="225">
        <f t="shared" si="7"/>
        <v>4.4092190444917687</v>
      </c>
      <c r="Z27" s="225">
        <f t="shared" si="7"/>
        <v>4.5281352668265571</v>
      </c>
      <c r="AA27" s="225">
        <f t="shared" si="7"/>
        <v>4.6328706790021705</v>
      </c>
      <c r="AB27" s="225">
        <f t="shared" si="7"/>
        <v>4.7538127313596972</v>
      </c>
      <c r="AC27" s="225">
        <f t="shared" si="7"/>
        <v>4.8680695446421858</v>
      </c>
      <c r="AD27" s="225">
        <f t="shared" si="7"/>
        <v>4.9740204548314431</v>
      </c>
      <c r="AE27" s="225">
        <f t="shared" si="7"/>
        <v>5.086859187098014</v>
      </c>
      <c r="AF27" s="225">
        <f t="shared" si="7"/>
        <v>5.2045599114191594</v>
      </c>
      <c r="AG27" s="225">
        <f t="shared" si="7"/>
        <v>5.3244890487653169</v>
      </c>
      <c r="AH27" s="225">
        <f t="shared" si="7"/>
        <v>5.4569783322524579</v>
      </c>
      <c r="AI27" s="225">
        <f t="shared" si="7"/>
        <v>5.594734773798721</v>
      </c>
      <c r="AJ27" s="225">
        <f t="shared" si="7"/>
        <v>5.732693798347257</v>
      </c>
      <c r="AK27" s="225">
        <f t="shared" si="7"/>
        <v>5.8759199809549152</v>
      </c>
      <c r="AL27" s="225">
        <f t="shared" si="7"/>
        <v>6.0292753136762691</v>
      </c>
      <c r="AM27" s="225">
        <f t="shared" si="7"/>
        <v>6.7725523490192643</v>
      </c>
      <c r="AN27" s="225">
        <f t="shared" si="7"/>
        <v>7.698154086408783</v>
      </c>
      <c r="AO27" s="225">
        <f t="shared" si="7"/>
        <v>9.3366454088002317</v>
      </c>
      <c r="AP27" s="225">
        <f t="shared" si="7"/>
        <v>11.005524181532767</v>
      </c>
    </row>
    <row r="28" spans="1:42">
      <c r="A28" s="61" t="str">
        <f>IF(D12,"*","")</f>
        <v/>
      </c>
      <c r="B28" s="22" t="s">
        <v>288</v>
      </c>
      <c r="C28" s="23" t="s">
        <v>137</v>
      </c>
      <c r="D28" s="61" t="str">
        <f t="shared" si="6"/>
        <v>IISCRS</v>
      </c>
      <c r="E28" s="23" t="s">
        <v>137</v>
      </c>
      <c r="F28" s="23" t="s">
        <v>137</v>
      </c>
      <c r="G28" s="23" t="s">
        <v>137</v>
      </c>
      <c r="H28" s="23" t="s">
        <v>137</v>
      </c>
      <c r="I28" s="22">
        <v>0</v>
      </c>
      <c r="J28" s="131">
        <f>'[5]IS-TSData'!J24</f>
        <v>6.94</v>
      </c>
      <c r="K28" s="131">
        <f>'[5]IS-TSData'!K24</f>
        <v>7.1000000000000005</v>
      </c>
      <c r="L28" s="131">
        <f>'[5]IS-TSData'!L24</f>
        <v>6.5</v>
      </c>
      <c r="M28" s="131">
        <f>'[5]IS-TSData'!M24</f>
        <v>6.4000000000000012</v>
      </c>
      <c r="N28" s="131">
        <f>'[5]IS-TSData'!N24</f>
        <v>6.0910000000000002</v>
      </c>
      <c r="O28" s="131">
        <f>'[5]IS-TSData'!O24</f>
        <v>6.23</v>
      </c>
      <c r="P28" s="131">
        <f>'[5]IS-TSData'!P24</f>
        <v>6.3</v>
      </c>
      <c r="Q28" s="131">
        <f>'[5]IS-TSData'!Q24</f>
        <v>6.1267974837582679</v>
      </c>
      <c r="R28" s="131">
        <f>'[5]IS-TSData'!R24</f>
        <v>5.0030232389251985</v>
      </c>
      <c r="S28" s="225">
        <f t="shared" si="7"/>
        <v>5.1621732440786108</v>
      </c>
      <c r="T28" s="225">
        <f t="shared" si="7"/>
        <v>5.2641924781513101</v>
      </c>
      <c r="U28" s="225">
        <f t="shared" si="7"/>
        <v>5.358050173498194</v>
      </c>
      <c r="V28" s="225">
        <f t="shared" si="7"/>
        <v>5.4437463301192617</v>
      </c>
      <c r="W28" s="225">
        <f t="shared" si="7"/>
        <v>5.5620886416435935</v>
      </c>
      <c r="X28" s="225">
        <f t="shared" si="7"/>
        <v>5.7620463404260844</v>
      </c>
      <c r="Y28" s="225">
        <f t="shared" si="7"/>
        <v>5.9579232698456677</v>
      </c>
      <c r="Z28" s="225">
        <f t="shared" si="7"/>
        <v>6.1538001992652518</v>
      </c>
      <c r="AA28" s="225">
        <f t="shared" si="7"/>
        <v>6.2966271269670315</v>
      </c>
      <c r="AB28" s="225">
        <f t="shared" si="7"/>
        <v>6.4802617482978908</v>
      </c>
      <c r="AC28" s="225">
        <f t="shared" si="7"/>
        <v>6.6271694453625782</v>
      </c>
      <c r="AD28" s="225">
        <f t="shared" si="7"/>
        <v>6.757754064975634</v>
      </c>
      <c r="AE28" s="225">
        <f t="shared" si="7"/>
        <v>6.90874253140323</v>
      </c>
      <c r="AF28" s="225">
        <f t="shared" si="7"/>
        <v>7.0760540752824577</v>
      </c>
      <c r="AG28" s="225">
        <f t="shared" si="7"/>
        <v>7.2352040804358699</v>
      </c>
      <c r="AH28" s="225">
        <f t="shared" si="7"/>
        <v>7.4229194711296387</v>
      </c>
      <c r="AI28" s="225">
        <f t="shared" si="7"/>
        <v>7.6187964005492228</v>
      </c>
      <c r="AJ28" s="225">
        <f t="shared" si="7"/>
        <v>7.8105925606058983</v>
      </c>
      <c r="AK28" s="225">
        <f t="shared" si="7"/>
        <v>8.0105502593883902</v>
      </c>
      <c r="AL28" s="225">
        <f t="shared" si="7"/>
        <v>8.2186694968966982</v>
      </c>
      <c r="AM28" s="225">
        <f t="shared" si="7"/>
        <v>9.2184579908091564</v>
      </c>
      <c r="AN28" s="225">
        <f t="shared" si="7"/>
        <v>10.565111880568795</v>
      </c>
      <c r="AO28" s="225">
        <f t="shared" si="7"/>
        <v>12.853743364933074</v>
      </c>
      <c r="AP28" s="225">
        <f t="shared" si="7"/>
        <v>15.20018574860517</v>
      </c>
    </row>
    <row r="29" spans="1:42">
      <c r="A29" s="61" t="str">
        <f t="shared" ref="A29:A38" si="8">IF(D13,"*","")</f>
        <v>*</v>
      </c>
      <c r="B29" s="22" t="s">
        <v>288</v>
      </c>
      <c r="C29" s="23" t="s">
        <v>137</v>
      </c>
      <c r="D29" s="61">
        <f t="shared" si="6"/>
        <v>0</v>
      </c>
      <c r="E29" s="23" t="s">
        <v>137</v>
      </c>
      <c r="F29" s="23" t="s">
        <v>137</v>
      </c>
      <c r="G29" s="23" t="s">
        <v>137</v>
      </c>
      <c r="H29" s="23" t="s">
        <v>137</v>
      </c>
      <c r="I29" s="22">
        <v>0</v>
      </c>
      <c r="J29" s="131">
        <v>0</v>
      </c>
      <c r="K29" s="225">
        <f t="shared" si="7"/>
        <v>0</v>
      </c>
      <c r="L29" s="225">
        <f t="shared" si="7"/>
        <v>0</v>
      </c>
      <c r="M29" s="225">
        <f t="shared" si="7"/>
        <v>0</v>
      </c>
      <c r="N29" s="225">
        <f t="shared" si="7"/>
        <v>0</v>
      </c>
      <c r="O29" s="225">
        <f t="shared" si="7"/>
        <v>0</v>
      </c>
      <c r="P29" s="225">
        <f t="shared" si="7"/>
        <v>0</v>
      </c>
      <c r="Q29" s="225">
        <f t="shared" si="7"/>
        <v>0</v>
      </c>
      <c r="R29" s="225">
        <f t="shared" si="7"/>
        <v>0</v>
      </c>
      <c r="S29" s="225">
        <f t="shared" si="7"/>
        <v>0</v>
      </c>
      <c r="T29" s="225">
        <f t="shared" si="7"/>
        <v>0</v>
      </c>
      <c r="U29" s="225">
        <f t="shared" si="7"/>
        <v>0</v>
      </c>
      <c r="V29" s="225">
        <f t="shared" si="7"/>
        <v>0</v>
      </c>
      <c r="W29" s="225">
        <f t="shared" si="7"/>
        <v>0</v>
      </c>
      <c r="X29" s="225">
        <f t="shared" si="7"/>
        <v>0</v>
      </c>
      <c r="Y29" s="225">
        <f t="shared" si="7"/>
        <v>0</v>
      </c>
      <c r="Z29" s="225">
        <f t="shared" si="7"/>
        <v>0</v>
      </c>
      <c r="AA29" s="225">
        <f t="shared" si="7"/>
        <v>0</v>
      </c>
      <c r="AB29" s="225">
        <f t="shared" si="7"/>
        <v>0</v>
      </c>
      <c r="AC29" s="225">
        <f t="shared" si="7"/>
        <v>0</v>
      </c>
      <c r="AD29" s="225">
        <f t="shared" si="7"/>
        <v>0</v>
      </c>
      <c r="AE29" s="225">
        <f t="shared" si="7"/>
        <v>0</v>
      </c>
      <c r="AF29" s="225">
        <f t="shared" si="7"/>
        <v>0</v>
      </c>
      <c r="AG29" s="225">
        <f t="shared" si="7"/>
        <v>0</v>
      </c>
      <c r="AH29" s="225">
        <f t="shared" si="7"/>
        <v>0</v>
      </c>
      <c r="AI29" s="225">
        <f t="shared" si="7"/>
        <v>0</v>
      </c>
      <c r="AJ29" s="225">
        <f t="shared" si="7"/>
        <v>0</v>
      </c>
      <c r="AK29" s="225">
        <f t="shared" si="7"/>
        <v>0</v>
      </c>
      <c r="AL29" s="225">
        <f t="shared" si="7"/>
        <v>0</v>
      </c>
      <c r="AM29" s="225">
        <f t="shared" si="7"/>
        <v>0</v>
      </c>
      <c r="AN29" s="225">
        <f t="shared" si="7"/>
        <v>0</v>
      </c>
      <c r="AO29" s="225">
        <f t="shared" si="7"/>
        <v>0</v>
      </c>
      <c r="AP29" s="225">
        <f t="shared" si="7"/>
        <v>0</v>
      </c>
    </row>
    <row r="30" spans="1:42">
      <c r="A30" s="61" t="str">
        <f t="shared" si="8"/>
        <v>*</v>
      </c>
      <c r="B30" s="22" t="s">
        <v>288</v>
      </c>
      <c r="C30" s="23" t="s">
        <v>137</v>
      </c>
      <c r="D30" s="61">
        <f t="shared" si="6"/>
        <v>0</v>
      </c>
      <c r="E30" s="23" t="s">
        <v>137</v>
      </c>
      <c r="F30" s="23" t="s">
        <v>137</v>
      </c>
      <c r="G30" s="23" t="s">
        <v>137</v>
      </c>
      <c r="H30" s="23" t="s">
        <v>137</v>
      </c>
      <c r="I30" s="22">
        <v>0</v>
      </c>
      <c r="J30" s="131">
        <v>0</v>
      </c>
      <c r="K30" s="225">
        <f t="shared" si="7"/>
        <v>0</v>
      </c>
      <c r="L30" s="225">
        <f t="shared" si="7"/>
        <v>0</v>
      </c>
      <c r="M30" s="225">
        <f t="shared" si="7"/>
        <v>0</v>
      </c>
      <c r="N30" s="225">
        <f t="shared" si="7"/>
        <v>0</v>
      </c>
      <c r="O30" s="225">
        <f t="shared" si="7"/>
        <v>0</v>
      </c>
      <c r="P30" s="225">
        <f t="shared" si="7"/>
        <v>0</v>
      </c>
      <c r="Q30" s="225">
        <f t="shared" si="7"/>
        <v>0</v>
      </c>
      <c r="R30" s="225">
        <f t="shared" si="7"/>
        <v>0</v>
      </c>
      <c r="S30" s="225">
        <f t="shared" si="7"/>
        <v>0</v>
      </c>
      <c r="T30" s="225">
        <f t="shared" si="7"/>
        <v>0</v>
      </c>
      <c r="U30" s="225">
        <f t="shared" si="7"/>
        <v>0</v>
      </c>
      <c r="V30" s="225">
        <f t="shared" si="7"/>
        <v>0</v>
      </c>
      <c r="W30" s="225">
        <f t="shared" si="7"/>
        <v>0</v>
      </c>
      <c r="X30" s="225">
        <f t="shared" si="7"/>
        <v>0</v>
      </c>
      <c r="Y30" s="225">
        <f t="shared" si="7"/>
        <v>0</v>
      </c>
      <c r="Z30" s="225">
        <f t="shared" si="7"/>
        <v>0</v>
      </c>
      <c r="AA30" s="225">
        <f t="shared" si="7"/>
        <v>0</v>
      </c>
      <c r="AB30" s="225">
        <f t="shared" si="7"/>
        <v>0</v>
      </c>
      <c r="AC30" s="225">
        <f t="shared" si="7"/>
        <v>0</v>
      </c>
      <c r="AD30" s="225">
        <f t="shared" si="7"/>
        <v>0</v>
      </c>
      <c r="AE30" s="225">
        <f t="shared" si="7"/>
        <v>0</v>
      </c>
      <c r="AF30" s="225">
        <f t="shared" si="7"/>
        <v>0</v>
      </c>
      <c r="AG30" s="225">
        <f t="shared" si="7"/>
        <v>0</v>
      </c>
      <c r="AH30" s="225">
        <f t="shared" si="7"/>
        <v>0</v>
      </c>
      <c r="AI30" s="225">
        <f t="shared" si="7"/>
        <v>0</v>
      </c>
      <c r="AJ30" s="225">
        <f t="shared" si="7"/>
        <v>0</v>
      </c>
      <c r="AK30" s="225">
        <f t="shared" si="7"/>
        <v>0</v>
      </c>
      <c r="AL30" s="225">
        <f t="shared" si="7"/>
        <v>0</v>
      </c>
      <c r="AM30" s="225">
        <f t="shared" si="7"/>
        <v>0</v>
      </c>
      <c r="AN30" s="225">
        <f t="shared" si="7"/>
        <v>0</v>
      </c>
      <c r="AO30" s="225">
        <f t="shared" si="7"/>
        <v>0</v>
      </c>
      <c r="AP30" s="225">
        <f t="shared" si="7"/>
        <v>0</v>
      </c>
    </row>
    <row r="31" spans="1:42">
      <c r="A31" s="61" t="str">
        <f t="shared" si="8"/>
        <v/>
      </c>
      <c r="B31" s="22" t="s">
        <v>288</v>
      </c>
      <c r="C31" s="23" t="s">
        <v>137</v>
      </c>
      <c r="D31" s="61" t="str">
        <f t="shared" si="6"/>
        <v>INMCEM</v>
      </c>
      <c r="E31" s="23" t="s">
        <v>137</v>
      </c>
      <c r="F31" s="23" t="s">
        <v>137</v>
      </c>
      <c r="G31" s="23" t="s">
        <v>137</v>
      </c>
      <c r="H31" s="23" t="s">
        <v>137</v>
      </c>
      <c r="I31" s="22">
        <v>0</v>
      </c>
      <c r="J31" s="131">
        <f>'[5]NMM-TSData'!J14</f>
        <v>14.27</v>
      </c>
      <c r="K31" s="131">
        <f>'[5]NMM-TSData'!K14</f>
        <v>14.368</v>
      </c>
      <c r="L31" s="131">
        <f>'[5]NMM-TSData'!L14</f>
        <v>14.465999999999999</v>
      </c>
      <c r="M31" s="131">
        <f>'[5]NMM-TSData'!M14</f>
        <v>14.564</v>
      </c>
      <c r="N31" s="131">
        <f>'[5]NMM-TSData'!N14</f>
        <v>14.662000000000001</v>
      </c>
      <c r="O31" s="131">
        <f>'[5]NMM-TSData'!O14</f>
        <v>14.759960880300349</v>
      </c>
      <c r="P31" s="225">
        <f t="shared" si="7"/>
        <v>14.913810635404458</v>
      </c>
      <c r="Q31" s="225">
        <f t="shared" si="7"/>
        <v>14.942657464486476</v>
      </c>
      <c r="R31" s="225">
        <f t="shared" si="7"/>
        <v>13.663781375183582</v>
      </c>
      <c r="S31" s="225">
        <f t="shared" si="7"/>
        <v>14.038790153249844</v>
      </c>
      <c r="T31" s="225">
        <f t="shared" si="7"/>
        <v>14.375336492540081</v>
      </c>
      <c r="U31" s="225">
        <f t="shared" si="7"/>
        <v>14.711882831830319</v>
      </c>
      <c r="V31" s="225">
        <f t="shared" si="7"/>
        <v>15.038813561426549</v>
      </c>
      <c r="W31" s="225">
        <f t="shared" si="7"/>
        <v>15.384975510410792</v>
      </c>
      <c r="X31" s="225">
        <f t="shared" si="7"/>
        <v>15.80806233694709</v>
      </c>
      <c r="Y31" s="225">
        <f t="shared" si="7"/>
        <v>16.231149163483384</v>
      </c>
      <c r="Z31" s="225">
        <f t="shared" si="7"/>
        <v>16.673467209407693</v>
      </c>
      <c r="AA31" s="225">
        <f t="shared" si="7"/>
        <v>17.115785255332003</v>
      </c>
      <c r="AB31" s="225">
        <f t="shared" si="7"/>
        <v>17.567718910950319</v>
      </c>
      <c r="AC31" s="225">
        <f t="shared" si="7"/>
        <v>18.086961834426681</v>
      </c>
      <c r="AD31" s="225">
        <f t="shared" si="7"/>
        <v>18.577357928821026</v>
      </c>
      <c r="AE31" s="225">
        <f t="shared" si="7"/>
        <v>19.115832071685404</v>
      </c>
      <c r="AF31" s="225">
        <f t="shared" si="7"/>
        <v>19.702384263019812</v>
      </c>
      <c r="AG31" s="225">
        <f t="shared" si="7"/>
        <v>20.327398893130255</v>
      </c>
      <c r="AH31" s="225">
        <f t="shared" si="7"/>
        <v>20.971644742628705</v>
      </c>
      <c r="AI31" s="225">
        <f t="shared" si="7"/>
        <v>21.635121811515173</v>
      </c>
      <c r="AJ31" s="225">
        <f t="shared" si="7"/>
        <v>22.298598880401638</v>
      </c>
      <c r="AK31" s="225">
        <f t="shared" si="7"/>
        <v>23.000538388064129</v>
      </c>
      <c r="AL31" s="225">
        <f t="shared" si="7"/>
        <v>23.731324724808641</v>
      </c>
      <c r="AM31" s="225">
        <f t="shared" si="7"/>
        <v>27.875652502925547</v>
      </c>
      <c r="AN31" s="225">
        <f t="shared" si="7"/>
        <v>33.116159786159223</v>
      </c>
      <c r="AO31" s="225">
        <f t="shared" si="7"/>
        <v>42.318298263323669</v>
      </c>
      <c r="AP31" s="225">
        <f t="shared" si="7"/>
        <v>51.703133324674248</v>
      </c>
    </row>
    <row r="32" spans="1:42">
      <c r="A32" s="61" t="str">
        <f t="shared" si="8"/>
        <v/>
      </c>
      <c r="B32" s="22" t="s">
        <v>288</v>
      </c>
      <c r="C32" s="23" t="s">
        <v>137</v>
      </c>
      <c r="D32" s="61" t="str">
        <f t="shared" si="6"/>
        <v>INMLIM</v>
      </c>
      <c r="E32" s="23" t="s">
        <v>137</v>
      </c>
      <c r="F32" s="23" t="s">
        <v>137</v>
      </c>
      <c r="G32" s="23" t="s">
        <v>137</v>
      </c>
      <c r="H32" s="23" t="s">
        <v>137</v>
      </c>
      <c r="I32" s="22">
        <v>0</v>
      </c>
      <c r="J32" s="163">
        <f>'[5]NMM-TSData'!J16</f>
        <v>1.2</v>
      </c>
      <c r="K32" s="163">
        <f>'[5]NMM-TSData'!K16</f>
        <v>1.1733333333333333</v>
      </c>
      <c r="L32" s="163">
        <f>'[5]NMM-TSData'!L16</f>
        <v>1.1466666666666667</v>
      </c>
      <c r="M32" s="163">
        <f>'[5]NMM-TSData'!M16</f>
        <v>1.1200000000000001</v>
      </c>
      <c r="N32" s="163">
        <f>'[5]NMM-TSData'!N16</f>
        <v>1.1200000000000001</v>
      </c>
      <c r="O32" s="163">
        <f>'[5]NMM-TSData'!O16</f>
        <v>1.3591716472036741</v>
      </c>
      <c r="P32" s="225">
        <f t="shared" si="7"/>
        <v>1.373338908672898</v>
      </c>
      <c r="Q32" s="225">
        <f t="shared" si="7"/>
        <v>1.3759952701983773</v>
      </c>
      <c r="R32" s="225">
        <f t="shared" si="7"/>
        <v>1.2582299092354532</v>
      </c>
      <c r="S32" s="225">
        <f t="shared" si="7"/>
        <v>1.2927626090666866</v>
      </c>
      <c r="T32" s="225">
        <f t="shared" si="7"/>
        <v>1.3237534935306141</v>
      </c>
      <c r="U32" s="225">
        <f t="shared" si="7"/>
        <v>1.3547443779945416</v>
      </c>
      <c r="V32" s="225">
        <f t="shared" si="7"/>
        <v>1.3848498086166425</v>
      </c>
      <c r="W32" s="225">
        <f t="shared" si="7"/>
        <v>1.4167261469223964</v>
      </c>
      <c r="X32" s="225">
        <f t="shared" si="7"/>
        <v>1.4556861159627623</v>
      </c>
      <c r="Y32" s="225">
        <f t="shared" si="7"/>
        <v>1.494646085003128</v>
      </c>
      <c r="Z32" s="225">
        <f t="shared" si="7"/>
        <v>1.5353769617271469</v>
      </c>
      <c r="AA32" s="225">
        <f t="shared" si="7"/>
        <v>1.576107838451166</v>
      </c>
      <c r="AB32" s="225">
        <f t="shared" si="7"/>
        <v>1.6177241690170112</v>
      </c>
      <c r="AC32" s="225">
        <f t="shared" si="7"/>
        <v>1.6655386764756421</v>
      </c>
      <c r="AD32" s="225">
        <f t="shared" si="7"/>
        <v>1.7106968224087935</v>
      </c>
      <c r="AE32" s="225">
        <f t="shared" si="7"/>
        <v>1.7602822375510772</v>
      </c>
      <c r="AF32" s="225">
        <f t="shared" si="7"/>
        <v>1.8142949219024935</v>
      </c>
      <c r="AG32" s="225">
        <f t="shared" si="7"/>
        <v>1.871849421621216</v>
      </c>
      <c r="AH32" s="225">
        <f t="shared" si="7"/>
        <v>1.9311748290235913</v>
      </c>
      <c r="AI32" s="225">
        <f t="shared" si="7"/>
        <v>1.9922711441096197</v>
      </c>
      <c r="AJ32" s="225">
        <f t="shared" si="7"/>
        <v>2.0533674591956483</v>
      </c>
      <c r="AK32" s="225">
        <f t="shared" si="7"/>
        <v>2.1180055896489827</v>
      </c>
      <c r="AL32" s="225">
        <f t="shared" si="7"/>
        <v>2.1853000816277963</v>
      </c>
      <c r="AM32" s="225">
        <f t="shared" si="7"/>
        <v>2.5669306874550166</v>
      </c>
      <c r="AN32" s="225">
        <f t="shared" si="7"/>
        <v>3.0495030312504579</v>
      </c>
      <c r="AO32" s="225">
        <f t="shared" si="7"/>
        <v>3.896882357878416</v>
      </c>
      <c r="AP32" s="225">
        <f t="shared" si="7"/>
        <v>4.7610853075010766</v>
      </c>
    </row>
    <row r="33" spans="1:42">
      <c r="A33" s="61" t="str">
        <f t="shared" si="8"/>
        <v/>
      </c>
      <c r="B33" s="22" t="s">
        <v>288</v>
      </c>
      <c r="C33" s="23" t="s">
        <v>137</v>
      </c>
      <c r="D33" s="61" t="str">
        <f t="shared" si="6"/>
        <v>INMGLA</v>
      </c>
      <c r="E33" s="23" t="s">
        <v>137</v>
      </c>
      <c r="F33" s="23" t="s">
        <v>137</v>
      </c>
      <c r="G33" s="23" t="s">
        <v>137</v>
      </c>
      <c r="H33" s="23" t="s">
        <v>137</v>
      </c>
      <c r="I33" s="22">
        <v>0</v>
      </c>
      <c r="J33" s="131">
        <f>'[5]NMM-TSData'!J15</f>
        <v>1.27</v>
      </c>
      <c r="K33" s="131">
        <f>'[5]NMM-TSData'!K15</f>
        <v>1.2484871200000001</v>
      </c>
      <c r="L33" s="131">
        <f>'[5]NMM-TSData'!L15</f>
        <v>1.2269742400000001</v>
      </c>
      <c r="M33" s="131">
        <f>'[5]NMM-TSData'!M15</f>
        <v>1.2054613600000001</v>
      </c>
      <c r="N33" s="131">
        <f>'[5]NMM-TSData'!N15</f>
        <v>1.1839484800000002</v>
      </c>
      <c r="O33" s="131">
        <f>'[5]NMM-TSData'!O15</f>
        <v>1.1624356</v>
      </c>
      <c r="P33" s="225">
        <f t="shared" si="7"/>
        <v>1.17455219257329</v>
      </c>
      <c r="Q33" s="225">
        <f t="shared" si="7"/>
        <v>1.1768240536807819</v>
      </c>
      <c r="R33" s="225">
        <f t="shared" si="7"/>
        <v>1.0761048779153095</v>
      </c>
      <c r="S33" s="225">
        <f t="shared" si="7"/>
        <v>1.1056390723127036</v>
      </c>
      <c r="T33" s="225">
        <f t="shared" si="7"/>
        <v>1.1321441185667753</v>
      </c>
      <c r="U33" s="225">
        <f t="shared" si="7"/>
        <v>1.1586491648208472</v>
      </c>
      <c r="V33" s="225">
        <f t="shared" si="7"/>
        <v>1.1843969240390881</v>
      </c>
      <c r="W33" s="225">
        <f t="shared" si="7"/>
        <v>1.2116592573289904</v>
      </c>
      <c r="X33" s="225">
        <f t="shared" si="7"/>
        <v>1.2449798869055377</v>
      </c>
      <c r="Y33" s="225">
        <f t="shared" si="7"/>
        <v>1.2783005164820846</v>
      </c>
      <c r="Z33" s="225">
        <f t="shared" si="7"/>
        <v>1.3131357201302931</v>
      </c>
      <c r="AA33" s="225">
        <f t="shared" si="7"/>
        <v>1.3479709237785016</v>
      </c>
      <c r="AB33" s="225">
        <f t="shared" si="7"/>
        <v>1.3835634144625406</v>
      </c>
      <c r="AC33" s="225">
        <f t="shared" si="7"/>
        <v>1.424456914397394</v>
      </c>
      <c r="AD33" s="225">
        <f t="shared" si="7"/>
        <v>1.4630785532247557</v>
      </c>
      <c r="AE33" s="225">
        <f t="shared" si="7"/>
        <v>1.5054866272312701</v>
      </c>
      <c r="AF33" s="225">
        <f t="shared" si="7"/>
        <v>1.5516811364169378</v>
      </c>
      <c r="AG33" s="225">
        <f t="shared" si="7"/>
        <v>1.6009047937459284</v>
      </c>
      <c r="AH33" s="225">
        <f t="shared" si="7"/>
        <v>1.6516430251465799</v>
      </c>
      <c r="AI33" s="225">
        <f t="shared" si="7"/>
        <v>1.7038958306188927</v>
      </c>
      <c r="AJ33" s="225">
        <f t="shared" si="7"/>
        <v>1.7561486360912055</v>
      </c>
      <c r="AK33" s="225">
        <f t="shared" si="7"/>
        <v>1.8114305897068408</v>
      </c>
      <c r="AL33" s="225">
        <f t="shared" si="7"/>
        <v>1.8689844044299675</v>
      </c>
      <c r="AM33" s="225">
        <f t="shared" si="7"/>
        <v>2.1953751168729645</v>
      </c>
      <c r="AN33" s="225">
        <f t="shared" si="7"/>
        <v>2.6080965514006516</v>
      </c>
      <c r="AO33" s="225">
        <f t="shared" si="7"/>
        <v>3.3328202446905535</v>
      </c>
      <c r="AP33" s="225">
        <f t="shared" si="7"/>
        <v>4.0719323916612371</v>
      </c>
    </row>
    <row r="34" spans="1:42">
      <c r="A34" s="61" t="str">
        <f t="shared" si="8"/>
        <v/>
      </c>
      <c r="B34" s="22" t="s">
        <v>288</v>
      </c>
      <c r="C34" s="23" t="s">
        <v>137</v>
      </c>
      <c r="D34" s="61" t="str">
        <f t="shared" si="6"/>
        <v>INMBRI</v>
      </c>
      <c r="E34" s="23" t="s">
        <v>137</v>
      </c>
      <c r="F34" s="23" t="s">
        <v>137</v>
      </c>
      <c r="G34" s="23" t="s">
        <v>137</v>
      </c>
      <c r="H34" s="23" t="s">
        <v>137</v>
      </c>
      <c r="I34" s="22">
        <v>0</v>
      </c>
      <c r="J34" s="164">
        <f>'[5]NMM-TSData'!J13</f>
        <v>3.2959999999999998</v>
      </c>
      <c r="K34" s="164">
        <f>'[5]NMM-TSData'!K13</f>
        <v>4.5590000000000002</v>
      </c>
      <c r="L34" s="164">
        <f>'[5]NMM-TSData'!L13</f>
        <v>5.8220999999999998</v>
      </c>
      <c r="M34" s="164">
        <f>'[5]NMM-TSData'!M13</f>
        <v>7.0850999999999997</v>
      </c>
      <c r="N34" s="164">
        <f>'[5]NMM-TSData'!N13</f>
        <v>8.3482000000000003</v>
      </c>
      <c r="O34" s="164">
        <f>'[5]NMM-TSData'!O13</f>
        <v>9.6111784370000013</v>
      </c>
      <c r="P34" s="225">
        <f t="shared" si="7"/>
        <v>9.7113601014899036</v>
      </c>
      <c r="Q34" s="225">
        <f t="shared" si="7"/>
        <v>9.7301441635817607</v>
      </c>
      <c r="R34" s="225">
        <f t="shared" si="7"/>
        <v>8.8973840775094484</v>
      </c>
      <c r="S34" s="225">
        <f t="shared" si="7"/>
        <v>9.1415768847035856</v>
      </c>
      <c r="T34" s="225">
        <f t="shared" si="7"/>
        <v>9.3607242757752456</v>
      </c>
      <c r="U34" s="225">
        <f t="shared" si="7"/>
        <v>9.5798716668469073</v>
      </c>
      <c r="V34" s="225">
        <f t="shared" si="7"/>
        <v>9.7927577038879505</v>
      </c>
      <c r="W34" s="225">
        <f t="shared" si="7"/>
        <v>10.018166448990231</v>
      </c>
      <c r="X34" s="225">
        <f t="shared" si="7"/>
        <v>10.293666026337462</v>
      </c>
      <c r="Y34" s="225">
        <f t="shared" si="7"/>
        <v>10.569165603684693</v>
      </c>
      <c r="Z34" s="225">
        <f t="shared" si="7"/>
        <v>10.857187889093163</v>
      </c>
      <c r="AA34" s="225">
        <f t="shared" si="7"/>
        <v>11.145210174501633</v>
      </c>
      <c r="AB34" s="225">
        <f t="shared" si="7"/>
        <v>11.439493813940722</v>
      </c>
      <c r="AC34" s="225">
        <f t="shared" si="7"/>
        <v>11.777606931594143</v>
      </c>
      <c r="AD34" s="225">
        <f t="shared" si="7"/>
        <v>12.096935987155709</v>
      </c>
      <c r="AE34" s="225">
        <f t="shared" si="7"/>
        <v>12.447571812870367</v>
      </c>
      <c r="AF34" s="225">
        <f t="shared" si="7"/>
        <v>12.829514408738119</v>
      </c>
      <c r="AG34" s="225">
        <f t="shared" si="7"/>
        <v>13.236502420728348</v>
      </c>
      <c r="AH34" s="225">
        <f t="shared" si="7"/>
        <v>13.656013140779812</v>
      </c>
      <c r="AI34" s="225">
        <f t="shared" si="7"/>
        <v>14.088046568892517</v>
      </c>
      <c r="AJ34" s="225">
        <f t="shared" si="7"/>
        <v>14.520079997005222</v>
      </c>
      <c r="AK34" s="225">
        <f t="shared" si="7"/>
        <v>14.977158841240401</v>
      </c>
      <c r="AL34" s="225">
        <f t="shared" si="7"/>
        <v>15.453021747567437</v>
      </c>
      <c r="AM34" s="225">
        <f t="shared" si="7"/>
        <v>18.151665334764182</v>
      </c>
      <c r="AN34" s="225">
        <f t="shared" si="7"/>
        <v>21.56410328145148</v>
      </c>
      <c r="AO34" s="225">
        <f t="shared" si="7"/>
        <v>27.55621908875376</v>
      </c>
      <c r="AP34" s="225">
        <f t="shared" ref="AP34" si="9">AO34*AP18/AO18</f>
        <v>33.667300622637796</v>
      </c>
    </row>
    <row r="35" spans="1:42">
      <c r="A35" s="61" t="str">
        <f t="shared" si="8"/>
        <v>*</v>
      </c>
      <c r="B35" s="22" t="s">
        <v>288</v>
      </c>
      <c r="C35" s="23" t="s">
        <v>137</v>
      </c>
      <c r="D35" s="61">
        <f t="shared" si="6"/>
        <v>0</v>
      </c>
      <c r="E35" s="23" t="s">
        <v>137</v>
      </c>
      <c r="F35" s="23" t="s">
        <v>137</v>
      </c>
      <c r="G35" s="23" t="s">
        <v>137</v>
      </c>
      <c r="H35" s="23" t="s">
        <v>137</v>
      </c>
      <c r="I35" s="22">
        <v>0</v>
      </c>
      <c r="J35" s="131">
        <v>0</v>
      </c>
      <c r="K35" s="225">
        <f t="shared" ref="K35:AP37" si="10">J35*K19/J19</f>
        <v>0</v>
      </c>
      <c r="L35" s="225">
        <f t="shared" si="10"/>
        <v>0</v>
      </c>
      <c r="M35" s="225">
        <f t="shared" si="10"/>
        <v>0</v>
      </c>
      <c r="N35" s="225">
        <f t="shared" si="10"/>
        <v>0</v>
      </c>
      <c r="O35" s="225">
        <f t="shared" si="10"/>
        <v>0</v>
      </c>
      <c r="P35" s="225">
        <f t="shared" si="10"/>
        <v>0</v>
      </c>
      <c r="Q35" s="225">
        <f t="shared" si="10"/>
        <v>0</v>
      </c>
      <c r="R35" s="225">
        <f t="shared" si="10"/>
        <v>0</v>
      </c>
      <c r="S35" s="225">
        <f t="shared" si="10"/>
        <v>0</v>
      </c>
      <c r="T35" s="225">
        <f t="shared" si="10"/>
        <v>0</v>
      </c>
      <c r="U35" s="225">
        <f t="shared" si="10"/>
        <v>0</v>
      </c>
      <c r="V35" s="225">
        <f t="shared" si="10"/>
        <v>0</v>
      </c>
      <c r="W35" s="225">
        <f t="shared" si="10"/>
        <v>0</v>
      </c>
      <c r="X35" s="225">
        <f t="shared" si="10"/>
        <v>0</v>
      </c>
      <c r="Y35" s="225">
        <f t="shared" si="10"/>
        <v>0</v>
      </c>
      <c r="Z35" s="225">
        <f t="shared" si="10"/>
        <v>0</v>
      </c>
      <c r="AA35" s="225">
        <f t="shared" si="10"/>
        <v>0</v>
      </c>
      <c r="AB35" s="225">
        <f t="shared" si="10"/>
        <v>0</v>
      </c>
      <c r="AC35" s="225">
        <f t="shared" si="10"/>
        <v>0</v>
      </c>
      <c r="AD35" s="225">
        <f t="shared" si="10"/>
        <v>0</v>
      </c>
      <c r="AE35" s="225">
        <f t="shared" si="10"/>
        <v>0</v>
      </c>
      <c r="AF35" s="225">
        <f t="shared" si="10"/>
        <v>0</v>
      </c>
      <c r="AG35" s="225">
        <f t="shared" si="10"/>
        <v>0</v>
      </c>
      <c r="AH35" s="225">
        <f t="shared" si="10"/>
        <v>0</v>
      </c>
      <c r="AI35" s="225">
        <f t="shared" si="10"/>
        <v>0</v>
      </c>
      <c r="AJ35" s="225">
        <f t="shared" si="10"/>
        <v>0</v>
      </c>
      <c r="AK35" s="225">
        <f t="shared" si="10"/>
        <v>0</v>
      </c>
      <c r="AL35" s="225">
        <f t="shared" si="10"/>
        <v>0</v>
      </c>
      <c r="AM35" s="225">
        <f t="shared" si="10"/>
        <v>0</v>
      </c>
      <c r="AN35" s="225">
        <f t="shared" si="10"/>
        <v>0</v>
      </c>
      <c r="AO35" s="225">
        <f t="shared" si="10"/>
        <v>0</v>
      </c>
      <c r="AP35" s="225">
        <f t="shared" si="10"/>
        <v>0</v>
      </c>
    </row>
    <row r="36" spans="1:42">
      <c r="A36" s="61" t="str">
        <f t="shared" si="8"/>
        <v/>
      </c>
      <c r="B36" s="22" t="s">
        <v>288</v>
      </c>
      <c r="C36" s="23" t="s">
        <v>137</v>
      </c>
      <c r="D36" s="61" t="str">
        <f t="shared" si="6"/>
        <v>IPPPAP</v>
      </c>
      <c r="E36" s="23" t="s">
        <v>137</v>
      </c>
      <c r="F36" s="23" t="s">
        <v>137</v>
      </c>
      <c r="G36" s="23" t="s">
        <v>137</v>
      </c>
      <c r="H36" s="23" t="s">
        <v>137</v>
      </c>
      <c r="I36" s="22">
        <v>0</v>
      </c>
      <c r="J36" s="163">
        <f>'[5]PP-TSData'!J29</f>
        <v>2.0533000000000001</v>
      </c>
      <c r="K36" s="163">
        <f>'[5]PP-TSData'!K29</f>
        <v>2.0786519999999999</v>
      </c>
      <c r="L36" s="163">
        <f>'[5]PP-TSData'!L29</f>
        <v>2.1040039999999998</v>
      </c>
      <c r="M36" s="163">
        <f>'[5]PP-TSData'!M29</f>
        <v>2.1293559999999996</v>
      </c>
      <c r="N36" s="163">
        <f>'[5]PP-TSData'!N29</f>
        <v>2.1547079999999994</v>
      </c>
      <c r="O36" s="163">
        <f>'[5]PP-TSData'!O29</f>
        <v>2.1800600000000001</v>
      </c>
      <c r="P36" s="225">
        <f t="shared" si="10"/>
        <v>2.2106692667706707</v>
      </c>
      <c r="Q36" s="225">
        <f t="shared" si="10"/>
        <v>2.2129366198647946</v>
      </c>
      <c r="R36" s="225">
        <f t="shared" si="10"/>
        <v>2.0587566094643788</v>
      </c>
      <c r="S36" s="225">
        <f t="shared" si="10"/>
        <v>2.1177077899115964</v>
      </c>
      <c r="T36" s="225">
        <f t="shared" si="10"/>
        <v>2.1709905876235047</v>
      </c>
      <c r="U36" s="225">
        <f t="shared" si="10"/>
        <v>2.2231397087883518</v>
      </c>
      <c r="V36" s="225">
        <f t="shared" si="10"/>
        <v>2.2718878003120127</v>
      </c>
      <c r="W36" s="225">
        <f t="shared" si="10"/>
        <v>2.3251705980239215</v>
      </c>
      <c r="X36" s="225">
        <f t="shared" si="10"/>
        <v>2.393191190847634</v>
      </c>
      <c r="Y36" s="225">
        <f t="shared" si="10"/>
        <v>2.4589444305772235</v>
      </c>
      <c r="Z36" s="225">
        <f t="shared" si="10"/>
        <v>2.5258313468538747</v>
      </c>
      <c r="AA36" s="225">
        <f t="shared" si="10"/>
        <v>2.588183556942278</v>
      </c>
      <c r="AB36" s="225">
        <f t="shared" si="10"/>
        <v>2.6550704732189296</v>
      </c>
      <c r="AC36" s="225">
        <f t="shared" si="10"/>
        <v>2.7230910660426426</v>
      </c>
      <c r="AD36" s="225">
        <f t="shared" si="10"/>
        <v>2.7899779823192938</v>
      </c>
      <c r="AE36" s="225">
        <f t="shared" si="10"/>
        <v>2.8636669578783165</v>
      </c>
      <c r="AF36" s="225">
        <f t="shared" si="10"/>
        <v>2.9407569630785244</v>
      </c>
      <c r="AG36" s="225">
        <f t="shared" si="10"/>
        <v>3.021247997919918</v>
      </c>
      <c r="AH36" s="225">
        <f t="shared" si="10"/>
        <v>3.1085410920436836</v>
      </c>
      <c r="AI36" s="225">
        <f t="shared" si="10"/>
        <v>3.1992352158086339</v>
      </c>
      <c r="AJ36" s="225">
        <f t="shared" si="10"/>
        <v>3.2910630161206464</v>
      </c>
      <c r="AK36" s="225">
        <f t="shared" si="10"/>
        <v>3.3874255226209065</v>
      </c>
      <c r="AL36" s="225">
        <f t="shared" si="10"/>
        <v>3.4894564118564761</v>
      </c>
      <c r="AM36" s="225">
        <f t="shared" si="10"/>
        <v>4.0381558606344274</v>
      </c>
      <c r="AN36" s="225">
        <f t="shared" si="10"/>
        <v>4.727431201248053</v>
      </c>
      <c r="AO36" s="225">
        <f t="shared" si="10"/>
        <v>5.9419766753336409</v>
      </c>
      <c r="AP36" s="225">
        <f t="shared" si="10"/>
        <v>7.1799514647252263</v>
      </c>
    </row>
    <row r="37" spans="1:42">
      <c r="A37" s="61" t="str">
        <f t="shared" si="8"/>
        <v/>
      </c>
      <c r="B37" s="22" t="s">
        <v>288</v>
      </c>
      <c r="C37" s="23" t="s">
        <v>137</v>
      </c>
      <c r="D37" s="61" t="str">
        <f t="shared" si="6"/>
        <v>IPPPULPD</v>
      </c>
      <c r="E37" s="23" t="s">
        <v>137</v>
      </c>
      <c r="F37" s="23" t="s">
        <v>137</v>
      </c>
      <c r="G37" s="23" t="s">
        <v>137</v>
      </c>
      <c r="H37" s="23" t="s">
        <v>137</v>
      </c>
      <c r="I37" s="22">
        <v>0</v>
      </c>
      <c r="J37" s="163">
        <f>'[5]PP-TSData'!J28</f>
        <v>0.73711514499999997</v>
      </c>
      <c r="K37" s="163">
        <f>'[5]PP-TSData'!K28</f>
        <v>0.73711514499999997</v>
      </c>
      <c r="L37" s="163">
        <f>'[5]PP-TSData'!L28</f>
        <v>0.73711514499999997</v>
      </c>
      <c r="M37" s="163">
        <f>'[5]PP-TSData'!M28</f>
        <v>0.73711514499999997</v>
      </c>
      <c r="N37" s="163">
        <f>'[5]PP-TSData'!N28</f>
        <v>0.7</v>
      </c>
      <c r="O37" s="163">
        <f>'[5]PP-TSData'!O28</f>
        <v>0.65910719806663931</v>
      </c>
      <c r="P37" s="225">
        <f t="shared" si="10"/>
        <v>0.66836143329690412</v>
      </c>
      <c r="Q37" s="225">
        <f t="shared" si="10"/>
        <v>0.66904693220284961</v>
      </c>
      <c r="R37" s="225">
        <f t="shared" si="10"/>
        <v>0.62243300659855272</v>
      </c>
      <c r="S37" s="225">
        <f t="shared" si="10"/>
        <v>0.64025597815313684</v>
      </c>
      <c r="T37" s="225">
        <f t="shared" si="10"/>
        <v>0.65636520244285701</v>
      </c>
      <c r="U37" s="225">
        <f t="shared" si="10"/>
        <v>0.67213167727960454</v>
      </c>
      <c r="V37" s="225">
        <f t="shared" si="10"/>
        <v>0.68686990375743373</v>
      </c>
      <c r="W37" s="225">
        <f t="shared" si="10"/>
        <v>0.70297912804715412</v>
      </c>
      <c r="X37" s="225">
        <f t="shared" si="10"/>
        <v>0.72354409522552032</v>
      </c>
      <c r="Y37" s="225">
        <f t="shared" si="10"/>
        <v>0.74342356349794114</v>
      </c>
      <c r="Z37" s="225">
        <f t="shared" si="10"/>
        <v>0.76364578122333471</v>
      </c>
      <c r="AA37" s="225">
        <f t="shared" si="10"/>
        <v>0.78249700113683707</v>
      </c>
      <c r="AB37" s="225">
        <f t="shared" si="10"/>
        <v>0.80271921886223074</v>
      </c>
      <c r="AC37" s="225">
        <f t="shared" si="10"/>
        <v>0.82328418604059694</v>
      </c>
      <c r="AD37" s="225">
        <f t="shared" si="10"/>
        <v>0.84350640376599051</v>
      </c>
      <c r="AE37" s="225">
        <f t="shared" si="10"/>
        <v>0.86578511820922066</v>
      </c>
      <c r="AF37" s="225">
        <f t="shared" si="10"/>
        <v>0.88909208101136905</v>
      </c>
      <c r="AG37" s="225">
        <f t="shared" si="10"/>
        <v>0.91342729217243568</v>
      </c>
      <c r="AH37" s="225">
        <f t="shared" si="10"/>
        <v>0.93981900005133923</v>
      </c>
      <c r="AI37" s="225">
        <f t="shared" si="10"/>
        <v>0.96723895628916079</v>
      </c>
      <c r="AJ37" s="225">
        <f t="shared" si="10"/>
        <v>0.99500166197995532</v>
      </c>
      <c r="AK37" s="225">
        <f t="shared" si="10"/>
        <v>1.0241353654826408</v>
      </c>
      <c r="AL37" s="225">
        <f t="shared" si="10"/>
        <v>1.0549828162501904</v>
      </c>
      <c r="AM37" s="225">
        <f t="shared" si="10"/>
        <v>1.2208735514890117</v>
      </c>
      <c r="AN37" s="225">
        <f t="shared" si="10"/>
        <v>1.429265218896457</v>
      </c>
      <c r="AO37" s="225">
        <f t="shared" si="10"/>
        <v>1.7964641328479398</v>
      </c>
      <c r="AP37" s="225">
        <f t="shared" si="10"/>
        <v>2.1707465354942088</v>
      </c>
    </row>
    <row r="38" spans="1:42">
      <c r="A38" s="61" t="str">
        <f t="shared" si="8"/>
        <v>*</v>
      </c>
      <c r="B38" s="22" t="s">
        <v>288</v>
      </c>
      <c r="C38" s="23" t="s">
        <v>137</v>
      </c>
      <c r="D38" s="61">
        <f t="shared" si="6"/>
        <v>0</v>
      </c>
      <c r="E38" s="23" t="s">
        <v>137</v>
      </c>
      <c r="F38" s="23" t="s">
        <v>137</v>
      </c>
      <c r="G38" s="23" t="s">
        <v>137</v>
      </c>
      <c r="H38" s="23" t="s">
        <v>137</v>
      </c>
      <c r="I38" s="22">
        <v>0</v>
      </c>
      <c r="J38" s="131">
        <v>0</v>
      </c>
      <c r="K38" s="225">
        <f t="shared" ref="K38:AP38" si="11">J38*K22/J22</f>
        <v>0</v>
      </c>
      <c r="L38" s="225">
        <f t="shared" si="11"/>
        <v>0</v>
      </c>
      <c r="M38" s="225">
        <f t="shared" si="11"/>
        <v>0</v>
      </c>
      <c r="N38" s="225">
        <f t="shared" si="11"/>
        <v>0</v>
      </c>
      <c r="O38" s="225">
        <f t="shared" si="11"/>
        <v>0</v>
      </c>
      <c r="P38" s="225">
        <f t="shared" si="11"/>
        <v>0</v>
      </c>
      <c r="Q38" s="225">
        <f t="shared" si="11"/>
        <v>0</v>
      </c>
      <c r="R38" s="225">
        <f t="shared" si="11"/>
        <v>0</v>
      </c>
      <c r="S38" s="225">
        <f t="shared" si="11"/>
        <v>0</v>
      </c>
      <c r="T38" s="225">
        <f t="shared" si="11"/>
        <v>0</v>
      </c>
      <c r="U38" s="225">
        <f t="shared" si="11"/>
        <v>0</v>
      </c>
      <c r="V38" s="225">
        <f t="shared" si="11"/>
        <v>0</v>
      </c>
      <c r="W38" s="225">
        <f t="shared" si="11"/>
        <v>0</v>
      </c>
      <c r="X38" s="225">
        <f t="shared" si="11"/>
        <v>0</v>
      </c>
      <c r="Y38" s="225">
        <f t="shared" si="11"/>
        <v>0</v>
      </c>
      <c r="Z38" s="225">
        <f t="shared" si="11"/>
        <v>0</v>
      </c>
      <c r="AA38" s="225">
        <f t="shared" si="11"/>
        <v>0</v>
      </c>
      <c r="AB38" s="225">
        <f t="shared" si="11"/>
        <v>0</v>
      </c>
      <c r="AC38" s="225">
        <f t="shared" si="11"/>
        <v>0</v>
      </c>
      <c r="AD38" s="225">
        <f t="shared" si="11"/>
        <v>0</v>
      </c>
      <c r="AE38" s="225">
        <f t="shared" si="11"/>
        <v>0</v>
      </c>
      <c r="AF38" s="225">
        <f t="shared" si="11"/>
        <v>0</v>
      </c>
      <c r="AG38" s="225">
        <f t="shared" si="11"/>
        <v>0</v>
      </c>
      <c r="AH38" s="225">
        <f t="shared" si="11"/>
        <v>0</v>
      </c>
      <c r="AI38" s="225">
        <f t="shared" si="11"/>
        <v>0</v>
      </c>
      <c r="AJ38" s="225">
        <f t="shared" si="11"/>
        <v>0</v>
      </c>
      <c r="AK38" s="225">
        <f t="shared" si="11"/>
        <v>0</v>
      </c>
      <c r="AL38" s="225">
        <f t="shared" si="11"/>
        <v>0</v>
      </c>
      <c r="AM38" s="225">
        <f t="shared" si="11"/>
        <v>0</v>
      </c>
      <c r="AN38" s="225">
        <f t="shared" si="11"/>
        <v>0</v>
      </c>
      <c r="AO38" s="225">
        <f t="shared" si="11"/>
        <v>0</v>
      </c>
      <c r="AP38" s="225">
        <f t="shared" si="11"/>
        <v>0</v>
      </c>
    </row>
    <row r="39" spans="1:42">
      <c r="A39" s="225" t="s">
        <v>16</v>
      </c>
      <c r="B39" s="226"/>
    </row>
    <row r="40" spans="1:42" ht="15.75" thickBot="1">
      <c r="A40" s="225" t="s">
        <v>16</v>
      </c>
      <c r="B40" s="14" t="s">
        <v>290</v>
      </c>
      <c r="C40" s="14"/>
      <c r="D40" s="225">
        <v>2010</v>
      </c>
      <c r="E40" s="225">
        <v>2020</v>
      </c>
      <c r="F40" s="225">
        <v>2030</v>
      </c>
      <c r="G40" s="225">
        <v>2050</v>
      </c>
    </row>
    <row r="41" spans="1:42">
      <c r="A41" s="225" t="s">
        <v>16</v>
      </c>
      <c r="B41" s="226" t="str">
        <f t="shared" ref="B41:C52" si="12">B10</f>
        <v>MI</v>
      </c>
      <c r="C41" s="226" t="str">
        <f t="shared" si="12"/>
        <v>Mining</v>
      </c>
      <c r="D41" s="225">
        <v>1</v>
      </c>
      <c r="E41" s="225">
        <v>1.0220604419830652</v>
      </c>
      <c r="F41" s="225">
        <v>1.0684529596700734</v>
      </c>
      <c r="G41" s="225">
        <f>F41</f>
        <v>1.0684529596700734</v>
      </c>
      <c r="J41" s="225">
        <f>IF(J$7=-1,K41,IF(J$7=99,I41,IF(J$7=0,INDEX($D41:$G41,0,J$5),(INDEX($D41:$G41,0,J$7+1)-INDEX($D41:$G41,0,J$7))/(INDEX($D$4:$G$4,0,J$7+1)-INDEX($D$4:$G$4,0,J$7))+I41)))</f>
        <v>1</v>
      </c>
      <c r="K41" s="225">
        <f t="shared" ref="K41:Z42" si="13">IF(K$7=-1,L41,IF(K$7=99,J41,IF(K$7=0,INDEX($D41:$G41,0,K$5),(INDEX($D41:$G41,0,K$7+1)-INDEX($D41:$G41,0,K$7))/(INDEX($D$4:$G$4,0,K$7+1)-INDEX($D$4:$G$4,0,K$7))+J41)))</f>
        <v>1.0027575552478831</v>
      </c>
      <c r="L41" s="225">
        <f t="shared" si="13"/>
        <v>1.0055151104957663</v>
      </c>
      <c r="M41" s="225">
        <f t="shared" si="13"/>
        <v>1.0082726657436494</v>
      </c>
      <c r="N41" s="225">
        <f t="shared" si="13"/>
        <v>1.0110302209915325</v>
      </c>
      <c r="O41" s="225">
        <f t="shared" si="13"/>
        <v>1.0137877762394156</v>
      </c>
      <c r="P41" s="225">
        <f t="shared" si="13"/>
        <v>1.0165453314872988</v>
      </c>
      <c r="Q41" s="225">
        <f t="shared" si="13"/>
        <v>1.0193028867351819</v>
      </c>
      <c r="R41" s="225">
        <f t="shared" si="13"/>
        <v>1.0220604419830652</v>
      </c>
      <c r="S41" s="225">
        <f t="shared" si="13"/>
        <v>1.0266996937517661</v>
      </c>
      <c r="T41" s="225">
        <f t="shared" si="13"/>
        <v>1.0313389455204669</v>
      </c>
      <c r="U41" s="225">
        <f t="shared" si="13"/>
        <v>1.0359781972891677</v>
      </c>
      <c r="V41" s="225">
        <f t="shared" si="13"/>
        <v>1.0406174490578686</v>
      </c>
      <c r="W41" s="225">
        <f t="shared" si="13"/>
        <v>1.0452567008265694</v>
      </c>
      <c r="X41" s="225">
        <f t="shared" si="13"/>
        <v>1.0498959525952702</v>
      </c>
      <c r="Y41" s="225">
        <f t="shared" si="13"/>
        <v>1.0545352043639711</v>
      </c>
      <c r="Z41" s="225">
        <f t="shared" si="13"/>
        <v>1.0591744561326719</v>
      </c>
      <c r="AA41" s="225">
        <f t="shared" ref="AA41:AP42" si="14">IF(AA$7=-1,AB41,IF(AA$7=99,Z41,IF(AA$7=0,INDEX($D41:$G41,0,AA$5),(INDEX($D41:$G41,0,AA$7+1)-INDEX($D41:$G41,0,AA$7))/(INDEX($D$4:$G$4,0,AA$7+1)-INDEX($D$4:$G$4,0,AA$7))+Z41)))</f>
        <v>1.0638137079013728</v>
      </c>
      <c r="AB41" s="225">
        <f t="shared" si="14"/>
        <v>1.0684529596700734</v>
      </c>
      <c r="AC41" s="225">
        <f t="shared" si="14"/>
        <v>1.0684529596700734</v>
      </c>
      <c r="AD41" s="225">
        <f t="shared" si="14"/>
        <v>1.0684529596700734</v>
      </c>
      <c r="AE41" s="225">
        <f t="shared" si="14"/>
        <v>1.0684529596700734</v>
      </c>
      <c r="AF41" s="225">
        <f t="shared" si="14"/>
        <v>1.0684529596700734</v>
      </c>
      <c r="AG41" s="225">
        <f t="shared" si="14"/>
        <v>1.0684529596700734</v>
      </c>
      <c r="AH41" s="225">
        <f t="shared" si="14"/>
        <v>1.0684529596700734</v>
      </c>
      <c r="AI41" s="225">
        <f t="shared" si="14"/>
        <v>1.0684529596700734</v>
      </c>
      <c r="AJ41" s="225">
        <f t="shared" si="14"/>
        <v>1.0684529596700734</v>
      </c>
      <c r="AK41" s="225">
        <f t="shared" si="14"/>
        <v>1.0684529596700734</v>
      </c>
      <c r="AL41" s="225">
        <f t="shared" si="14"/>
        <v>1.0684529596700734</v>
      </c>
      <c r="AM41" s="225">
        <f t="shared" si="14"/>
        <v>1.0684529596700734</v>
      </c>
      <c r="AN41" s="225">
        <f t="shared" si="14"/>
        <v>1.0684529596700734</v>
      </c>
      <c r="AO41" s="225">
        <f t="shared" si="14"/>
        <v>1.0684529596700734</v>
      </c>
      <c r="AP41" s="225">
        <f t="shared" si="14"/>
        <v>1.0684529596700734</v>
      </c>
    </row>
    <row r="42" spans="1:42">
      <c r="A42" s="225" t="s">
        <v>16</v>
      </c>
      <c r="B42" s="226" t="str">
        <f t="shared" si="12"/>
        <v>FA</v>
      </c>
      <c r="C42" s="226" t="str">
        <f t="shared" si="12"/>
        <v>Ferro Alloys</v>
      </c>
      <c r="D42" s="225">
        <v>1</v>
      </c>
      <c r="E42" s="225">
        <v>1</v>
      </c>
      <c r="F42" s="225">
        <v>1</v>
      </c>
      <c r="G42" s="225">
        <v>1</v>
      </c>
      <c r="J42" s="225">
        <f>IF(J$7=-1,K42,IF(J$7=99,I42,IF(J$7=0,INDEX($D42:$G42,0,J$5),(INDEX($D42:$G42,0,J$7+1)-INDEX($D42:$G42,0,J$7))/(INDEX($D$4:$G$4,0,J$7+1)-INDEX($D$4:$G$4,0,J$7))+I42)))</f>
        <v>1</v>
      </c>
      <c r="K42" s="225">
        <f t="shared" si="13"/>
        <v>1</v>
      </c>
      <c r="L42" s="225">
        <f t="shared" si="13"/>
        <v>1</v>
      </c>
      <c r="M42" s="225">
        <f t="shared" si="13"/>
        <v>1</v>
      </c>
      <c r="N42" s="225">
        <f t="shared" si="13"/>
        <v>1</v>
      </c>
      <c r="O42" s="225">
        <f t="shared" si="13"/>
        <v>1</v>
      </c>
      <c r="P42" s="225">
        <f t="shared" si="13"/>
        <v>1</v>
      </c>
      <c r="Q42" s="225">
        <f t="shared" si="13"/>
        <v>1</v>
      </c>
      <c r="R42" s="225">
        <f t="shared" si="13"/>
        <v>1</v>
      </c>
      <c r="S42" s="225">
        <f t="shared" si="13"/>
        <v>1</v>
      </c>
      <c r="T42" s="225">
        <f t="shared" si="13"/>
        <v>1</v>
      </c>
      <c r="U42" s="225">
        <f t="shared" si="13"/>
        <v>1</v>
      </c>
      <c r="V42" s="225">
        <f t="shared" si="13"/>
        <v>1</v>
      </c>
      <c r="W42" s="225">
        <f t="shared" si="13"/>
        <v>1</v>
      </c>
      <c r="X42" s="225">
        <f t="shared" si="13"/>
        <v>1</v>
      </c>
      <c r="Y42" s="225">
        <f t="shared" si="13"/>
        <v>1</v>
      </c>
      <c r="Z42" s="225">
        <f t="shared" si="13"/>
        <v>1</v>
      </c>
      <c r="AA42" s="225">
        <f t="shared" si="14"/>
        <v>1</v>
      </c>
      <c r="AB42" s="225">
        <f t="shared" si="14"/>
        <v>1</v>
      </c>
      <c r="AC42" s="225">
        <f t="shared" si="14"/>
        <v>1</v>
      </c>
      <c r="AD42" s="225">
        <f t="shared" si="14"/>
        <v>1</v>
      </c>
      <c r="AE42" s="225">
        <f t="shared" si="14"/>
        <v>1</v>
      </c>
      <c r="AF42" s="225">
        <f t="shared" si="14"/>
        <v>1</v>
      </c>
      <c r="AG42" s="225">
        <f t="shared" si="14"/>
        <v>1</v>
      </c>
      <c r="AH42" s="225">
        <f t="shared" si="14"/>
        <v>1</v>
      </c>
      <c r="AI42" s="225">
        <f t="shared" si="14"/>
        <v>1</v>
      </c>
      <c r="AJ42" s="225">
        <f t="shared" si="14"/>
        <v>1</v>
      </c>
      <c r="AK42" s="225">
        <f t="shared" si="14"/>
        <v>1</v>
      </c>
      <c r="AL42" s="225">
        <f t="shared" si="14"/>
        <v>1</v>
      </c>
      <c r="AM42" s="225">
        <f t="shared" si="14"/>
        <v>1</v>
      </c>
      <c r="AN42" s="225">
        <f t="shared" si="14"/>
        <v>1</v>
      </c>
      <c r="AO42" s="225">
        <f t="shared" si="14"/>
        <v>1</v>
      </c>
      <c r="AP42" s="225">
        <f t="shared" si="14"/>
        <v>1</v>
      </c>
    </row>
    <row r="43" spans="1:42">
      <c r="A43" s="225" t="s">
        <v>16</v>
      </c>
      <c r="B43" s="226" t="str">
        <f t="shared" si="12"/>
        <v>IS</v>
      </c>
      <c r="C43" s="226" t="str">
        <f t="shared" si="12"/>
        <v>Iron &amp; Steel</v>
      </c>
      <c r="D43" s="225">
        <v>1</v>
      </c>
      <c r="E43" s="225">
        <v>1</v>
      </c>
      <c r="F43" s="225">
        <v>1</v>
      </c>
      <c r="G43" s="225">
        <v>1</v>
      </c>
      <c r="J43" s="225">
        <f t="shared" ref="J43:AP48" si="15">IF(J$7=-1,K43,IF(J$7=99,I43,IF(J$7=0,INDEX($D43:$G43,0,J$5),(INDEX($D43:$G43,0,J$7+1)-INDEX($D43:$G43,0,J$7))/(INDEX($D$4:$G$4,0,J$7+1)-INDEX($D$4:$G$4,0,J$7))+I43)))</f>
        <v>1</v>
      </c>
      <c r="K43" s="225">
        <f t="shared" si="15"/>
        <v>1</v>
      </c>
      <c r="L43" s="225">
        <f t="shared" si="15"/>
        <v>1</v>
      </c>
      <c r="M43" s="225">
        <f t="shared" si="15"/>
        <v>1</v>
      </c>
      <c r="N43" s="225">
        <f t="shared" si="15"/>
        <v>1</v>
      </c>
      <c r="O43" s="225">
        <f t="shared" si="15"/>
        <v>1</v>
      </c>
      <c r="P43" s="225">
        <f t="shared" si="15"/>
        <v>1</v>
      </c>
      <c r="Q43" s="225">
        <f t="shared" si="15"/>
        <v>1</v>
      </c>
      <c r="R43" s="225">
        <f t="shared" si="15"/>
        <v>1</v>
      </c>
      <c r="S43" s="225">
        <f t="shared" si="15"/>
        <v>1</v>
      </c>
      <c r="T43" s="225">
        <f t="shared" si="15"/>
        <v>1</v>
      </c>
      <c r="U43" s="225">
        <f t="shared" si="15"/>
        <v>1</v>
      </c>
      <c r="V43" s="225">
        <f t="shared" si="15"/>
        <v>1</v>
      </c>
      <c r="W43" s="225">
        <f t="shared" si="15"/>
        <v>1</v>
      </c>
      <c r="X43" s="225">
        <f t="shared" si="15"/>
        <v>1</v>
      </c>
      <c r="Y43" s="225">
        <f t="shared" si="15"/>
        <v>1</v>
      </c>
      <c r="Z43" s="225">
        <f t="shared" si="15"/>
        <v>1</v>
      </c>
      <c r="AA43" s="225">
        <f t="shared" si="15"/>
        <v>1</v>
      </c>
      <c r="AB43" s="225">
        <f t="shared" si="15"/>
        <v>1</v>
      </c>
      <c r="AC43" s="225">
        <f t="shared" si="15"/>
        <v>1</v>
      </c>
      <c r="AD43" s="225">
        <f t="shared" si="15"/>
        <v>1</v>
      </c>
      <c r="AE43" s="225">
        <f t="shared" si="15"/>
        <v>1</v>
      </c>
      <c r="AF43" s="225">
        <f t="shared" si="15"/>
        <v>1</v>
      </c>
      <c r="AG43" s="225">
        <f t="shared" si="15"/>
        <v>1</v>
      </c>
      <c r="AH43" s="225">
        <f t="shared" si="15"/>
        <v>1</v>
      </c>
      <c r="AI43" s="225">
        <f t="shared" si="15"/>
        <v>1</v>
      </c>
      <c r="AJ43" s="225">
        <f t="shared" si="15"/>
        <v>1</v>
      </c>
      <c r="AK43" s="225">
        <f t="shared" si="15"/>
        <v>1</v>
      </c>
      <c r="AL43" s="225">
        <f t="shared" si="15"/>
        <v>1</v>
      </c>
      <c r="AM43" s="225">
        <f t="shared" si="15"/>
        <v>1</v>
      </c>
      <c r="AN43" s="225">
        <f t="shared" si="15"/>
        <v>1</v>
      </c>
      <c r="AO43" s="225">
        <f t="shared" si="15"/>
        <v>1</v>
      </c>
      <c r="AP43" s="225">
        <f t="shared" si="15"/>
        <v>1</v>
      </c>
    </row>
    <row r="44" spans="1:42">
      <c r="A44" s="225" t="s">
        <v>16</v>
      </c>
      <c r="B44" s="226" t="str">
        <f t="shared" si="12"/>
        <v>CP</v>
      </c>
      <c r="C44" s="226" t="str">
        <f t="shared" si="12"/>
        <v>Chemicals</v>
      </c>
      <c r="D44" s="225">
        <v>1</v>
      </c>
      <c r="E44" s="225">
        <v>1</v>
      </c>
      <c r="F44" s="225">
        <v>1</v>
      </c>
      <c r="G44" s="225">
        <v>1</v>
      </c>
      <c r="J44" s="225">
        <f t="shared" si="15"/>
        <v>1</v>
      </c>
      <c r="K44" s="225">
        <f t="shared" si="15"/>
        <v>1</v>
      </c>
      <c r="L44" s="225">
        <f t="shared" si="15"/>
        <v>1</v>
      </c>
      <c r="M44" s="225">
        <f t="shared" si="15"/>
        <v>1</v>
      </c>
      <c r="N44" s="225">
        <f t="shared" si="15"/>
        <v>1</v>
      </c>
      <c r="O44" s="225">
        <f t="shared" si="15"/>
        <v>1</v>
      </c>
      <c r="P44" s="225">
        <f t="shared" si="15"/>
        <v>1</v>
      </c>
      <c r="Q44" s="225">
        <f t="shared" si="15"/>
        <v>1</v>
      </c>
      <c r="R44" s="225">
        <f t="shared" si="15"/>
        <v>1</v>
      </c>
      <c r="S44" s="225">
        <f t="shared" si="15"/>
        <v>1</v>
      </c>
      <c r="T44" s="225">
        <f t="shared" si="15"/>
        <v>1</v>
      </c>
      <c r="U44" s="225">
        <f t="shared" si="15"/>
        <v>1</v>
      </c>
      <c r="V44" s="225">
        <f t="shared" si="15"/>
        <v>1</v>
      </c>
      <c r="W44" s="225">
        <f t="shared" si="15"/>
        <v>1</v>
      </c>
      <c r="X44" s="225">
        <f t="shared" si="15"/>
        <v>1</v>
      </c>
      <c r="Y44" s="225">
        <f t="shared" si="15"/>
        <v>1</v>
      </c>
      <c r="Z44" s="225">
        <f t="shared" si="15"/>
        <v>1</v>
      </c>
      <c r="AA44" s="225">
        <f t="shared" si="15"/>
        <v>1</v>
      </c>
      <c r="AB44" s="225">
        <f t="shared" si="15"/>
        <v>1</v>
      </c>
      <c r="AC44" s="225">
        <f t="shared" si="15"/>
        <v>1</v>
      </c>
      <c r="AD44" s="225">
        <f t="shared" si="15"/>
        <v>1</v>
      </c>
      <c r="AE44" s="225">
        <f t="shared" si="15"/>
        <v>1</v>
      </c>
      <c r="AF44" s="225">
        <f t="shared" si="15"/>
        <v>1</v>
      </c>
      <c r="AG44" s="225">
        <f t="shared" si="15"/>
        <v>1</v>
      </c>
      <c r="AH44" s="225">
        <f t="shared" si="15"/>
        <v>1</v>
      </c>
      <c r="AI44" s="225">
        <f t="shared" si="15"/>
        <v>1</v>
      </c>
      <c r="AJ44" s="225">
        <f t="shared" si="15"/>
        <v>1</v>
      </c>
      <c r="AK44" s="225">
        <f t="shared" si="15"/>
        <v>1</v>
      </c>
      <c r="AL44" s="225">
        <f t="shared" si="15"/>
        <v>1</v>
      </c>
      <c r="AM44" s="225">
        <f t="shared" si="15"/>
        <v>1</v>
      </c>
      <c r="AN44" s="225">
        <f t="shared" si="15"/>
        <v>1</v>
      </c>
      <c r="AO44" s="225">
        <f t="shared" si="15"/>
        <v>1</v>
      </c>
      <c r="AP44" s="225">
        <f t="shared" si="15"/>
        <v>1</v>
      </c>
    </row>
    <row r="45" spans="1:42">
      <c r="A45" s="225" t="s">
        <v>16</v>
      </c>
      <c r="B45" s="226" t="str">
        <f t="shared" si="12"/>
        <v>NF</v>
      </c>
      <c r="C45" s="226" t="str">
        <f t="shared" si="12"/>
        <v>Precious &amp; Non-Ferrous metals</v>
      </c>
      <c r="D45" s="225">
        <v>1</v>
      </c>
      <c r="E45" s="225">
        <v>1</v>
      </c>
      <c r="F45" s="225">
        <v>1</v>
      </c>
      <c r="G45" s="225">
        <v>1</v>
      </c>
      <c r="J45" s="225">
        <f t="shared" si="15"/>
        <v>1</v>
      </c>
      <c r="K45" s="225">
        <f t="shared" si="15"/>
        <v>1</v>
      </c>
      <c r="L45" s="225">
        <f t="shared" si="15"/>
        <v>1</v>
      </c>
      <c r="M45" s="225">
        <f t="shared" si="15"/>
        <v>1</v>
      </c>
      <c r="N45" s="225">
        <f t="shared" si="15"/>
        <v>1</v>
      </c>
      <c r="O45" s="225">
        <f t="shared" si="15"/>
        <v>1</v>
      </c>
      <c r="P45" s="225">
        <f t="shared" si="15"/>
        <v>1</v>
      </c>
      <c r="Q45" s="225">
        <f t="shared" si="15"/>
        <v>1</v>
      </c>
      <c r="R45" s="225">
        <f t="shared" si="15"/>
        <v>1</v>
      </c>
      <c r="S45" s="225">
        <f t="shared" si="15"/>
        <v>1</v>
      </c>
      <c r="T45" s="225">
        <f t="shared" si="15"/>
        <v>1</v>
      </c>
      <c r="U45" s="225">
        <f t="shared" si="15"/>
        <v>1</v>
      </c>
      <c r="V45" s="225">
        <f t="shared" si="15"/>
        <v>1</v>
      </c>
      <c r="W45" s="225">
        <f t="shared" si="15"/>
        <v>1</v>
      </c>
      <c r="X45" s="225">
        <f t="shared" si="15"/>
        <v>1</v>
      </c>
      <c r="Y45" s="225">
        <f t="shared" si="15"/>
        <v>1</v>
      </c>
      <c r="Z45" s="225">
        <f t="shared" si="15"/>
        <v>1</v>
      </c>
      <c r="AA45" s="225">
        <f t="shared" si="15"/>
        <v>1</v>
      </c>
      <c r="AB45" s="225">
        <f t="shared" si="15"/>
        <v>1</v>
      </c>
      <c r="AC45" s="225">
        <f t="shared" si="15"/>
        <v>1</v>
      </c>
      <c r="AD45" s="225">
        <f t="shared" si="15"/>
        <v>1</v>
      </c>
      <c r="AE45" s="225">
        <f t="shared" si="15"/>
        <v>1</v>
      </c>
      <c r="AF45" s="225">
        <f t="shared" si="15"/>
        <v>1</v>
      </c>
      <c r="AG45" s="225">
        <f t="shared" si="15"/>
        <v>1</v>
      </c>
      <c r="AH45" s="225">
        <f t="shared" si="15"/>
        <v>1</v>
      </c>
      <c r="AI45" s="225">
        <f t="shared" si="15"/>
        <v>1</v>
      </c>
      <c r="AJ45" s="225">
        <f t="shared" si="15"/>
        <v>1</v>
      </c>
      <c r="AK45" s="225">
        <f t="shared" si="15"/>
        <v>1</v>
      </c>
      <c r="AL45" s="225">
        <f t="shared" si="15"/>
        <v>1</v>
      </c>
      <c r="AM45" s="225">
        <f t="shared" si="15"/>
        <v>1</v>
      </c>
      <c r="AN45" s="225">
        <f t="shared" si="15"/>
        <v>1</v>
      </c>
      <c r="AO45" s="225">
        <f t="shared" si="15"/>
        <v>1</v>
      </c>
      <c r="AP45" s="225">
        <f t="shared" si="15"/>
        <v>1</v>
      </c>
    </row>
    <row r="46" spans="1:42">
      <c r="A46" s="225" t="s">
        <v>16</v>
      </c>
      <c r="B46" s="226" t="str">
        <f t="shared" si="12"/>
        <v>NM</v>
      </c>
      <c r="C46" s="226" t="str">
        <f t="shared" si="12"/>
        <v>N.M.M Products</v>
      </c>
      <c r="D46" s="225">
        <v>1</v>
      </c>
      <c r="E46" s="225">
        <v>1</v>
      </c>
      <c r="F46" s="225">
        <v>1</v>
      </c>
      <c r="G46" s="225">
        <v>1</v>
      </c>
      <c r="J46" s="225">
        <f t="shared" si="15"/>
        <v>1</v>
      </c>
      <c r="K46" s="225">
        <f t="shared" si="15"/>
        <v>1</v>
      </c>
      <c r="L46" s="225">
        <f t="shared" si="15"/>
        <v>1</v>
      </c>
      <c r="M46" s="225">
        <f t="shared" si="15"/>
        <v>1</v>
      </c>
      <c r="N46" s="225">
        <f t="shared" si="15"/>
        <v>1</v>
      </c>
      <c r="O46" s="225">
        <f t="shared" si="15"/>
        <v>1</v>
      </c>
      <c r="P46" s="225">
        <f t="shared" si="15"/>
        <v>1</v>
      </c>
      <c r="Q46" s="225">
        <f t="shared" si="15"/>
        <v>1</v>
      </c>
      <c r="R46" s="225">
        <f t="shared" si="15"/>
        <v>1</v>
      </c>
      <c r="S46" s="225">
        <f t="shared" si="15"/>
        <v>1</v>
      </c>
      <c r="T46" s="225">
        <f t="shared" si="15"/>
        <v>1</v>
      </c>
      <c r="U46" s="225">
        <f t="shared" si="15"/>
        <v>1</v>
      </c>
      <c r="V46" s="225">
        <f t="shared" si="15"/>
        <v>1</v>
      </c>
      <c r="W46" s="225">
        <f t="shared" si="15"/>
        <v>1</v>
      </c>
      <c r="X46" s="225">
        <f t="shared" si="15"/>
        <v>1</v>
      </c>
      <c r="Y46" s="225">
        <f t="shared" si="15"/>
        <v>1</v>
      </c>
      <c r="Z46" s="225">
        <f t="shared" si="15"/>
        <v>1</v>
      </c>
      <c r="AA46" s="225">
        <f t="shared" si="15"/>
        <v>1</v>
      </c>
      <c r="AB46" s="225">
        <f t="shared" si="15"/>
        <v>1</v>
      </c>
      <c r="AC46" s="225">
        <f t="shared" si="15"/>
        <v>1</v>
      </c>
      <c r="AD46" s="225">
        <f t="shared" si="15"/>
        <v>1</v>
      </c>
      <c r="AE46" s="225">
        <f t="shared" si="15"/>
        <v>1</v>
      </c>
      <c r="AF46" s="225">
        <f t="shared" si="15"/>
        <v>1</v>
      </c>
      <c r="AG46" s="225">
        <f t="shared" si="15"/>
        <v>1</v>
      </c>
      <c r="AH46" s="225">
        <f t="shared" si="15"/>
        <v>1</v>
      </c>
      <c r="AI46" s="225">
        <f t="shared" si="15"/>
        <v>1</v>
      </c>
      <c r="AJ46" s="225">
        <f t="shared" si="15"/>
        <v>1</v>
      </c>
      <c r="AK46" s="225">
        <f t="shared" si="15"/>
        <v>1</v>
      </c>
      <c r="AL46" s="225">
        <f t="shared" si="15"/>
        <v>1</v>
      </c>
      <c r="AM46" s="225">
        <f t="shared" si="15"/>
        <v>1</v>
      </c>
      <c r="AN46" s="225">
        <f t="shared" si="15"/>
        <v>1</v>
      </c>
      <c r="AO46" s="225">
        <f t="shared" si="15"/>
        <v>1</v>
      </c>
      <c r="AP46" s="225">
        <f t="shared" si="15"/>
        <v>1</v>
      </c>
    </row>
    <row r="47" spans="1:42">
      <c r="A47" s="225" t="s">
        <v>16</v>
      </c>
      <c r="B47" s="226" t="str">
        <f t="shared" si="12"/>
        <v>NM</v>
      </c>
      <c r="C47" s="226" t="str">
        <f t="shared" si="12"/>
        <v>N.M.M Products</v>
      </c>
      <c r="D47" s="225">
        <v>1</v>
      </c>
      <c r="E47" s="225">
        <v>1</v>
      </c>
      <c r="F47" s="225">
        <v>1</v>
      </c>
      <c r="G47" s="225">
        <v>1</v>
      </c>
      <c r="J47" s="225">
        <f t="shared" si="15"/>
        <v>1</v>
      </c>
      <c r="K47" s="225">
        <f t="shared" si="15"/>
        <v>1</v>
      </c>
      <c r="L47" s="225">
        <f t="shared" si="15"/>
        <v>1</v>
      </c>
      <c r="M47" s="225">
        <f t="shared" si="15"/>
        <v>1</v>
      </c>
      <c r="N47" s="225">
        <f t="shared" si="15"/>
        <v>1</v>
      </c>
      <c r="O47" s="225">
        <f t="shared" si="15"/>
        <v>1</v>
      </c>
      <c r="P47" s="225">
        <f t="shared" si="15"/>
        <v>1</v>
      </c>
      <c r="Q47" s="225">
        <f t="shared" si="15"/>
        <v>1</v>
      </c>
      <c r="R47" s="225">
        <f t="shared" si="15"/>
        <v>1</v>
      </c>
      <c r="S47" s="225">
        <f t="shared" si="15"/>
        <v>1</v>
      </c>
      <c r="T47" s="225">
        <f t="shared" si="15"/>
        <v>1</v>
      </c>
      <c r="U47" s="225">
        <f t="shared" si="15"/>
        <v>1</v>
      </c>
      <c r="V47" s="225">
        <f t="shared" si="15"/>
        <v>1</v>
      </c>
      <c r="W47" s="225">
        <f t="shared" si="15"/>
        <v>1</v>
      </c>
      <c r="X47" s="225">
        <f t="shared" si="15"/>
        <v>1</v>
      </c>
      <c r="Y47" s="225">
        <f t="shared" si="15"/>
        <v>1</v>
      </c>
      <c r="Z47" s="225">
        <f t="shared" si="15"/>
        <v>1</v>
      </c>
      <c r="AA47" s="225">
        <f t="shared" si="15"/>
        <v>1</v>
      </c>
      <c r="AB47" s="225">
        <f t="shared" si="15"/>
        <v>1</v>
      </c>
      <c r="AC47" s="225">
        <f t="shared" si="15"/>
        <v>1</v>
      </c>
      <c r="AD47" s="225">
        <f t="shared" si="15"/>
        <v>1</v>
      </c>
      <c r="AE47" s="225">
        <f t="shared" si="15"/>
        <v>1</v>
      </c>
      <c r="AF47" s="225">
        <f t="shared" si="15"/>
        <v>1</v>
      </c>
      <c r="AG47" s="225">
        <f t="shared" si="15"/>
        <v>1</v>
      </c>
      <c r="AH47" s="225">
        <f t="shared" si="15"/>
        <v>1</v>
      </c>
      <c r="AI47" s="225">
        <f t="shared" si="15"/>
        <v>1</v>
      </c>
      <c r="AJ47" s="225">
        <f t="shared" si="15"/>
        <v>1</v>
      </c>
      <c r="AK47" s="225">
        <f t="shared" si="15"/>
        <v>1</v>
      </c>
      <c r="AL47" s="225">
        <f t="shared" si="15"/>
        <v>1</v>
      </c>
      <c r="AM47" s="225">
        <f t="shared" si="15"/>
        <v>1</v>
      </c>
      <c r="AN47" s="225">
        <f t="shared" si="15"/>
        <v>1</v>
      </c>
      <c r="AO47" s="225">
        <f t="shared" si="15"/>
        <v>1</v>
      </c>
      <c r="AP47" s="225">
        <f t="shared" si="15"/>
        <v>1</v>
      </c>
    </row>
    <row r="48" spans="1:42">
      <c r="A48" s="225" t="s">
        <v>16</v>
      </c>
      <c r="B48" s="226" t="str">
        <f t="shared" si="12"/>
        <v>NM</v>
      </c>
      <c r="C48" s="226" t="str">
        <f t="shared" si="12"/>
        <v>N.M.M Products</v>
      </c>
      <c r="D48" s="225">
        <v>1</v>
      </c>
      <c r="E48" s="225">
        <v>1</v>
      </c>
      <c r="F48" s="225">
        <v>1</v>
      </c>
      <c r="G48" s="225">
        <v>1</v>
      </c>
      <c r="J48" s="225">
        <f>IF(J$7=-1,K48,IF(J$7=99,I48,IF(J$7=0,INDEX($D48:$G48,0,J$5),(INDEX($D48:$G48,0,J$7+1)-INDEX($D48:$G48,0,J$7))/(INDEX($D$4:$G$4,0,J$7+1)-INDEX($D$4:$G$4,0,J$7))+I48)))</f>
        <v>1</v>
      </c>
      <c r="K48" s="225">
        <f t="shared" si="15"/>
        <v>1</v>
      </c>
      <c r="L48" s="225">
        <f t="shared" si="15"/>
        <v>1</v>
      </c>
      <c r="M48" s="225">
        <f t="shared" si="15"/>
        <v>1</v>
      </c>
      <c r="N48" s="225">
        <f t="shared" si="15"/>
        <v>1</v>
      </c>
      <c r="O48" s="225">
        <f t="shared" si="15"/>
        <v>1</v>
      </c>
      <c r="P48" s="225">
        <f t="shared" si="15"/>
        <v>1</v>
      </c>
      <c r="Q48" s="225">
        <f t="shared" si="15"/>
        <v>1</v>
      </c>
      <c r="R48" s="225">
        <f t="shared" si="15"/>
        <v>1</v>
      </c>
      <c r="S48" s="225">
        <f t="shared" si="15"/>
        <v>1</v>
      </c>
      <c r="T48" s="225">
        <f t="shared" si="15"/>
        <v>1</v>
      </c>
      <c r="U48" s="225">
        <f t="shared" si="15"/>
        <v>1</v>
      </c>
      <c r="V48" s="225">
        <f t="shared" si="15"/>
        <v>1</v>
      </c>
      <c r="W48" s="225">
        <f t="shared" si="15"/>
        <v>1</v>
      </c>
      <c r="X48" s="225">
        <f t="shared" si="15"/>
        <v>1</v>
      </c>
      <c r="Y48" s="225">
        <f t="shared" si="15"/>
        <v>1</v>
      </c>
      <c r="Z48" s="225">
        <f t="shared" si="15"/>
        <v>1</v>
      </c>
      <c r="AA48" s="225">
        <f t="shared" si="15"/>
        <v>1</v>
      </c>
      <c r="AB48" s="225">
        <f t="shared" si="15"/>
        <v>1</v>
      </c>
      <c r="AC48" s="225">
        <f t="shared" si="15"/>
        <v>1</v>
      </c>
      <c r="AD48" s="225">
        <f t="shared" si="15"/>
        <v>1</v>
      </c>
      <c r="AE48" s="225">
        <f t="shared" si="15"/>
        <v>1</v>
      </c>
      <c r="AF48" s="225">
        <f t="shared" si="15"/>
        <v>1</v>
      </c>
      <c r="AG48" s="225">
        <f t="shared" si="15"/>
        <v>1</v>
      </c>
      <c r="AH48" s="225">
        <f t="shared" si="15"/>
        <v>1</v>
      </c>
      <c r="AI48" s="225">
        <f t="shared" si="15"/>
        <v>1</v>
      </c>
      <c r="AJ48" s="225">
        <f t="shared" si="15"/>
        <v>1</v>
      </c>
      <c r="AK48" s="225">
        <f t="shared" si="15"/>
        <v>1</v>
      </c>
      <c r="AL48" s="225">
        <f t="shared" si="15"/>
        <v>1</v>
      </c>
      <c r="AM48" s="225">
        <f t="shared" si="15"/>
        <v>1</v>
      </c>
      <c r="AN48" s="225">
        <f t="shared" si="15"/>
        <v>1</v>
      </c>
      <c r="AO48" s="225">
        <f t="shared" si="15"/>
        <v>1</v>
      </c>
      <c r="AP48" s="225">
        <f t="shared" si="15"/>
        <v>1</v>
      </c>
    </row>
    <row r="49" spans="1:42">
      <c r="A49" s="225" t="s">
        <v>16</v>
      </c>
      <c r="B49" s="226" t="str">
        <f t="shared" si="12"/>
        <v>NM</v>
      </c>
      <c r="C49" s="226" t="str">
        <f t="shared" si="12"/>
        <v>N.M.M Products</v>
      </c>
      <c r="D49" s="225">
        <v>1</v>
      </c>
      <c r="E49" s="225">
        <v>1</v>
      </c>
      <c r="F49" s="225">
        <v>1</v>
      </c>
      <c r="G49" s="225">
        <v>1</v>
      </c>
      <c r="J49" s="225">
        <f t="shared" ref="J49:AP53" si="16">IF(J$7=-1,K49,IF(J$7=99,I49,IF(J$7=0,INDEX($D49:$G49,0,J$5),(INDEX($D49:$G49,0,J$7+1)-INDEX($D49:$G49,0,J$7))/(INDEX($D$4:$G$4,0,J$7+1)-INDEX($D$4:$G$4,0,J$7))+I49)))</f>
        <v>1</v>
      </c>
      <c r="K49" s="225">
        <f t="shared" si="16"/>
        <v>1</v>
      </c>
      <c r="L49" s="225">
        <f t="shared" si="16"/>
        <v>1</v>
      </c>
      <c r="M49" s="225">
        <f t="shared" si="16"/>
        <v>1</v>
      </c>
      <c r="N49" s="225">
        <f t="shared" si="16"/>
        <v>1</v>
      </c>
      <c r="O49" s="225">
        <f t="shared" si="16"/>
        <v>1</v>
      </c>
      <c r="P49" s="225">
        <f t="shared" si="16"/>
        <v>1</v>
      </c>
      <c r="Q49" s="225">
        <f t="shared" si="16"/>
        <v>1</v>
      </c>
      <c r="R49" s="225">
        <f t="shared" si="16"/>
        <v>1</v>
      </c>
      <c r="S49" s="225">
        <f t="shared" si="16"/>
        <v>1</v>
      </c>
      <c r="T49" s="225">
        <f t="shared" si="16"/>
        <v>1</v>
      </c>
      <c r="U49" s="225">
        <f t="shared" si="16"/>
        <v>1</v>
      </c>
      <c r="V49" s="225">
        <f t="shared" si="16"/>
        <v>1</v>
      </c>
      <c r="W49" s="225">
        <f t="shared" si="16"/>
        <v>1</v>
      </c>
      <c r="X49" s="225">
        <f t="shared" si="16"/>
        <v>1</v>
      </c>
      <c r="Y49" s="225">
        <f t="shared" si="16"/>
        <v>1</v>
      </c>
      <c r="Z49" s="225">
        <f t="shared" si="16"/>
        <v>1</v>
      </c>
      <c r="AA49" s="225">
        <f t="shared" si="16"/>
        <v>1</v>
      </c>
      <c r="AB49" s="225">
        <f t="shared" si="16"/>
        <v>1</v>
      </c>
      <c r="AC49" s="225">
        <f t="shared" si="16"/>
        <v>1</v>
      </c>
      <c r="AD49" s="225">
        <f t="shared" si="16"/>
        <v>1</v>
      </c>
      <c r="AE49" s="225">
        <f t="shared" si="16"/>
        <v>1</v>
      </c>
      <c r="AF49" s="225">
        <f t="shared" si="16"/>
        <v>1</v>
      </c>
      <c r="AG49" s="225">
        <f t="shared" si="16"/>
        <v>1</v>
      </c>
      <c r="AH49" s="225">
        <f t="shared" si="16"/>
        <v>1</v>
      </c>
      <c r="AI49" s="225">
        <f t="shared" si="16"/>
        <v>1</v>
      </c>
      <c r="AJ49" s="225">
        <f t="shared" si="16"/>
        <v>1</v>
      </c>
      <c r="AK49" s="225">
        <f t="shared" si="16"/>
        <v>1</v>
      </c>
      <c r="AL49" s="225">
        <f t="shared" si="16"/>
        <v>1</v>
      </c>
      <c r="AM49" s="225">
        <f t="shared" si="16"/>
        <v>1</v>
      </c>
      <c r="AN49" s="225">
        <f t="shared" si="16"/>
        <v>1</v>
      </c>
      <c r="AO49" s="225">
        <f t="shared" si="16"/>
        <v>1</v>
      </c>
      <c r="AP49" s="225">
        <f t="shared" si="16"/>
        <v>1</v>
      </c>
    </row>
    <row r="50" spans="1:42">
      <c r="A50" s="225" t="s">
        <v>16</v>
      </c>
      <c r="B50" s="226" t="str">
        <f t="shared" si="12"/>
        <v>FB</v>
      </c>
      <c r="C50" s="226" t="str">
        <f t="shared" si="12"/>
        <v>Food, Beverage &amp; Tabacco</v>
      </c>
      <c r="D50" s="225">
        <v>1</v>
      </c>
      <c r="E50" s="225">
        <v>1</v>
      </c>
      <c r="F50" s="225">
        <v>1</v>
      </c>
      <c r="G50" s="225">
        <v>1</v>
      </c>
      <c r="J50" s="225">
        <f t="shared" si="16"/>
        <v>1</v>
      </c>
      <c r="K50" s="225">
        <f t="shared" si="16"/>
        <v>1</v>
      </c>
      <c r="L50" s="225">
        <f t="shared" si="16"/>
        <v>1</v>
      </c>
      <c r="M50" s="225">
        <f t="shared" si="16"/>
        <v>1</v>
      </c>
      <c r="N50" s="225">
        <f t="shared" si="16"/>
        <v>1</v>
      </c>
      <c r="O50" s="225">
        <f t="shared" si="16"/>
        <v>1</v>
      </c>
      <c r="P50" s="225">
        <f t="shared" si="16"/>
        <v>1</v>
      </c>
      <c r="Q50" s="225">
        <f t="shared" si="16"/>
        <v>1</v>
      </c>
      <c r="R50" s="225">
        <f t="shared" si="16"/>
        <v>1</v>
      </c>
      <c r="S50" s="225">
        <f t="shared" si="16"/>
        <v>1</v>
      </c>
      <c r="T50" s="225">
        <f t="shared" si="16"/>
        <v>1</v>
      </c>
      <c r="U50" s="225">
        <f t="shared" si="16"/>
        <v>1</v>
      </c>
      <c r="V50" s="225">
        <f t="shared" si="16"/>
        <v>1</v>
      </c>
      <c r="W50" s="225">
        <f t="shared" si="16"/>
        <v>1</v>
      </c>
      <c r="X50" s="225">
        <f t="shared" si="16"/>
        <v>1</v>
      </c>
      <c r="Y50" s="225">
        <f t="shared" si="16"/>
        <v>1</v>
      </c>
      <c r="Z50" s="225">
        <f t="shared" si="16"/>
        <v>1</v>
      </c>
      <c r="AA50" s="225">
        <f t="shared" si="16"/>
        <v>1</v>
      </c>
      <c r="AB50" s="225">
        <f t="shared" si="16"/>
        <v>1</v>
      </c>
      <c r="AC50" s="225">
        <f t="shared" si="16"/>
        <v>1</v>
      </c>
      <c r="AD50" s="225">
        <f t="shared" si="16"/>
        <v>1</v>
      </c>
      <c r="AE50" s="225">
        <f t="shared" si="16"/>
        <v>1</v>
      </c>
      <c r="AF50" s="225">
        <f t="shared" si="16"/>
        <v>1</v>
      </c>
      <c r="AG50" s="225">
        <f t="shared" si="16"/>
        <v>1</v>
      </c>
      <c r="AH50" s="225">
        <f t="shared" si="16"/>
        <v>1</v>
      </c>
      <c r="AI50" s="225">
        <f t="shared" si="16"/>
        <v>1</v>
      </c>
      <c r="AJ50" s="225">
        <f t="shared" si="16"/>
        <v>1</v>
      </c>
      <c r="AK50" s="225">
        <f t="shared" si="16"/>
        <v>1</v>
      </c>
      <c r="AL50" s="225">
        <f t="shared" si="16"/>
        <v>1</v>
      </c>
      <c r="AM50" s="225">
        <f t="shared" si="16"/>
        <v>1</v>
      </c>
      <c r="AN50" s="225">
        <f t="shared" si="16"/>
        <v>1</v>
      </c>
      <c r="AO50" s="225">
        <f t="shared" si="16"/>
        <v>1</v>
      </c>
      <c r="AP50" s="225">
        <f t="shared" si="16"/>
        <v>1</v>
      </c>
    </row>
    <row r="51" spans="1:42">
      <c r="A51" s="225" t="s">
        <v>16</v>
      </c>
      <c r="B51" s="226" t="str">
        <f t="shared" si="12"/>
        <v>PP</v>
      </c>
      <c r="C51" s="226" t="str">
        <f t="shared" si="12"/>
        <v>Pulp &amp; Paper Products</v>
      </c>
      <c r="D51" s="225">
        <v>1</v>
      </c>
      <c r="E51" s="225">
        <v>1</v>
      </c>
      <c r="F51" s="225">
        <v>1</v>
      </c>
      <c r="G51" s="225">
        <v>1</v>
      </c>
      <c r="J51" s="225">
        <f t="shared" si="16"/>
        <v>1</v>
      </c>
      <c r="K51" s="225">
        <f t="shared" si="16"/>
        <v>1</v>
      </c>
      <c r="L51" s="225">
        <f t="shared" si="16"/>
        <v>1</v>
      </c>
      <c r="M51" s="225">
        <f t="shared" si="16"/>
        <v>1</v>
      </c>
      <c r="N51" s="225">
        <f t="shared" si="16"/>
        <v>1</v>
      </c>
      <c r="O51" s="225">
        <f t="shared" si="16"/>
        <v>1</v>
      </c>
      <c r="P51" s="225">
        <f t="shared" si="16"/>
        <v>1</v>
      </c>
      <c r="Q51" s="225">
        <f t="shared" si="16"/>
        <v>1</v>
      </c>
      <c r="R51" s="225">
        <f t="shared" si="16"/>
        <v>1</v>
      </c>
      <c r="S51" s="225">
        <f t="shared" si="16"/>
        <v>1</v>
      </c>
      <c r="T51" s="225">
        <f t="shared" si="16"/>
        <v>1</v>
      </c>
      <c r="U51" s="225">
        <f t="shared" si="16"/>
        <v>1</v>
      </c>
      <c r="V51" s="225">
        <f t="shared" si="16"/>
        <v>1</v>
      </c>
      <c r="W51" s="225">
        <f t="shared" si="16"/>
        <v>1</v>
      </c>
      <c r="X51" s="225">
        <f t="shared" si="16"/>
        <v>1</v>
      </c>
      <c r="Y51" s="225">
        <f t="shared" si="16"/>
        <v>1</v>
      </c>
      <c r="Z51" s="225">
        <f t="shared" si="16"/>
        <v>1</v>
      </c>
      <c r="AA51" s="225">
        <f t="shared" si="16"/>
        <v>1</v>
      </c>
      <c r="AB51" s="225">
        <f t="shared" si="16"/>
        <v>1</v>
      </c>
      <c r="AC51" s="225">
        <f t="shared" si="16"/>
        <v>1</v>
      </c>
      <c r="AD51" s="225">
        <f t="shared" si="16"/>
        <v>1</v>
      </c>
      <c r="AE51" s="225">
        <f t="shared" si="16"/>
        <v>1</v>
      </c>
      <c r="AF51" s="225">
        <f t="shared" si="16"/>
        <v>1</v>
      </c>
      <c r="AG51" s="225">
        <f t="shared" si="16"/>
        <v>1</v>
      </c>
      <c r="AH51" s="225">
        <f t="shared" si="16"/>
        <v>1</v>
      </c>
      <c r="AI51" s="225">
        <f t="shared" si="16"/>
        <v>1</v>
      </c>
      <c r="AJ51" s="225">
        <f t="shared" si="16"/>
        <v>1</v>
      </c>
      <c r="AK51" s="225">
        <f t="shared" si="16"/>
        <v>1</v>
      </c>
      <c r="AL51" s="225">
        <f t="shared" si="16"/>
        <v>1</v>
      </c>
      <c r="AM51" s="225">
        <f t="shared" si="16"/>
        <v>1</v>
      </c>
      <c r="AN51" s="225">
        <f t="shared" si="16"/>
        <v>1</v>
      </c>
      <c r="AO51" s="225">
        <f t="shared" si="16"/>
        <v>1</v>
      </c>
      <c r="AP51" s="225">
        <f t="shared" si="16"/>
        <v>1</v>
      </c>
    </row>
    <row r="52" spans="1:42">
      <c r="A52" s="225" t="s">
        <v>16</v>
      </c>
      <c r="B52" s="226" t="str">
        <f t="shared" si="12"/>
        <v>PP</v>
      </c>
      <c r="C52" s="226" t="str">
        <f t="shared" si="12"/>
        <v>Pulp &amp; Paper Products</v>
      </c>
      <c r="D52" s="225">
        <v>1</v>
      </c>
      <c r="E52" s="225">
        <v>1</v>
      </c>
      <c r="F52" s="225">
        <v>1</v>
      </c>
      <c r="G52" s="225">
        <v>1</v>
      </c>
      <c r="J52" s="225">
        <f t="shared" si="16"/>
        <v>1</v>
      </c>
      <c r="K52" s="225">
        <f t="shared" si="16"/>
        <v>1</v>
      </c>
      <c r="L52" s="225">
        <f t="shared" si="16"/>
        <v>1</v>
      </c>
      <c r="M52" s="225">
        <f t="shared" si="16"/>
        <v>1</v>
      </c>
      <c r="N52" s="225">
        <f t="shared" si="16"/>
        <v>1</v>
      </c>
      <c r="O52" s="225">
        <f t="shared" si="16"/>
        <v>1</v>
      </c>
      <c r="P52" s="225">
        <f t="shared" si="16"/>
        <v>1</v>
      </c>
      <c r="Q52" s="225">
        <f t="shared" si="16"/>
        <v>1</v>
      </c>
      <c r="R52" s="225">
        <f t="shared" si="16"/>
        <v>1</v>
      </c>
      <c r="S52" s="225">
        <f t="shared" si="16"/>
        <v>1</v>
      </c>
      <c r="T52" s="225">
        <f t="shared" si="16"/>
        <v>1</v>
      </c>
      <c r="U52" s="225">
        <f t="shared" si="16"/>
        <v>1</v>
      </c>
      <c r="V52" s="225">
        <f t="shared" si="16"/>
        <v>1</v>
      </c>
      <c r="W52" s="225">
        <f t="shared" si="16"/>
        <v>1</v>
      </c>
      <c r="X52" s="225">
        <f t="shared" si="16"/>
        <v>1</v>
      </c>
      <c r="Y52" s="225">
        <f t="shared" si="16"/>
        <v>1</v>
      </c>
      <c r="Z52" s="225">
        <f t="shared" si="16"/>
        <v>1</v>
      </c>
      <c r="AA52" s="225">
        <f t="shared" si="16"/>
        <v>1</v>
      </c>
      <c r="AB52" s="225">
        <f t="shared" si="16"/>
        <v>1</v>
      </c>
      <c r="AC52" s="225">
        <f t="shared" si="16"/>
        <v>1</v>
      </c>
      <c r="AD52" s="225">
        <f t="shared" si="16"/>
        <v>1</v>
      </c>
      <c r="AE52" s="225">
        <f t="shared" si="16"/>
        <v>1</v>
      </c>
      <c r="AF52" s="225">
        <f t="shared" si="16"/>
        <v>1</v>
      </c>
      <c r="AG52" s="225">
        <f t="shared" si="16"/>
        <v>1</v>
      </c>
      <c r="AH52" s="225">
        <f t="shared" si="16"/>
        <v>1</v>
      </c>
      <c r="AI52" s="225">
        <f t="shared" si="16"/>
        <v>1</v>
      </c>
      <c r="AJ52" s="225">
        <f t="shared" si="16"/>
        <v>1</v>
      </c>
      <c r="AK52" s="225">
        <f t="shared" si="16"/>
        <v>1</v>
      </c>
      <c r="AL52" s="225">
        <f t="shared" si="16"/>
        <v>1</v>
      </c>
      <c r="AM52" s="225">
        <f t="shared" si="16"/>
        <v>1</v>
      </c>
      <c r="AN52" s="225">
        <f t="shared" si="16"/>
        <v>1</v>
      </c>
      <c r="AO52" s="225">
        <f t="shared" si="16"/>
        <v>1</v>
      </c>
      <c r="AP52" s="225">
        <f t="shared" si="16"/>
        <v>1</v>
      </c>
    </row>
    <row r="53" spans="1:42">
      <c r="A53" s="225" t="s">
        <v>16</v>
      </c>
      <c r="B53" s="226" t="str">
        <f>B22</f>
        <v>OT</v>
      </c>
      <c r="C53" s="226" t="str">
        <f>C22</f>
        <v>Other</v>
      </c>
      <c r="D53" s="225">
        <v>1</v>
      </c>
      <c r="E53" s="225">
        <v>1</v>
      </c>
      <c r="F53" s="225">
        <v>1</v>
      </c>
      <c r="G53" s="225">
        <v>1</v>
      </c>
      <c r="J53" s="225">
        <f t="shared" si="16"/>
        <v>1</v>
      </c>
      <c r="K53" s="225">
        <f t="shared" si="16"/>
        <v>1</v>
      </c>
      <c r="L53" s="225">
        <f t="shared" si="16"/>
        <v>1</v>
      </c>
      <c r="M53" s="225">
        <f t="shared" si="16"/>
        <v>1</v>
      </c>
      <c r="N53" s="225">
        <f t="shared" si="16"/>
        <v>1</v>
      </c>
      <c r="O53" s="225">
        <f t="shared" si="16"/>
        <v>1</v>
      </c>
      <c r="P53" s="225">
        <f t="shared" si="16"/>
        <v>1</v>
      </c>
      <c r="Q53" s="225">
        <f t="shared" si="16"/>
        <v>1</v>
      </c>
      <c r="R53" s="225">
        <f t="shared" si="16"/>
        <v>1</v>
      </c>
      <c r="S53" s="225">
        <f t="shared" si="16"/>
        <v>1</v>
      </c>
      <c r="T53" s="225">
        <f t="shared" si="16"/>
        <v>1</v>
      </c>
      <c r="U53" s="225">
        <f t="shared" si="16"/>
        <v>1</v>
      </c>
      <c r="V53" s="225">
        <f t="shared" si="16"/>
        <v>1</v>
      </c>
      <c r="W53" s="225">
        <f t="shared" si="16"/>
        <v>1</v>
      </c>
      <c r="X53" s="225">
        <f t="shared" si="16"/>
        <v>1</v>
      </c>
      <c r="Y53" s="225">
        <f t="shared" si="16"/>
        <v>1</v>
      </c>
      <c r="Z53" s="225">
        <f t="shared" si="16"/>
        <v>1</v>
      </c>
      <c r="AA53" s="225">
        <f t="shared" si="16"/>
        <v>1</v>
      </c>
      <c r="AB53" s="225">
        <f t="shared" si="16"/>
        <v>1</v>
      </c>
      <c r="AC53" s="225">
        <f t="shared" si="16"/>
        <v>1</v>
      </c>
      <c r="AD53" s="225">
        <f t="shared" si="16"/>
        <v>1</v>
      </c>
      <c r="AE53" s="225">
        <f t="shared" si="16"/>
        <v>1</v>
      </c>
      <c r="AF53" s="225">
        <f t="shared" si="16"/>
        <v>1</v>
      </c>
      <c r="AG53" s="225">
        <f t="shared" si="16"/>
        <v>1</v>
      </c>
      <c r="AH53" s="225">
        <f t="shared" si="16"/>
        <v>1</v>
      </c>
      <c r="AI53" s="225">
        <f t="shared" si="16"/>
        <v>1</v>
      </c>
      <c r="AJ53" s="225">
        <f t="shared" si="16"/>
        <v>1</v>
      </c>
      <c r="AK53" s="225">
        <f t="shared" si="16"/>
        <v>1</v>
      </c>
      <c r="AL53" s="225">
        <f t="shared" si="16"/>
        <v>1</v>
      </c>
      <c r="AM53" s="225">
        <f t="shared" si="16"/>
        <v>1</v>
      </c>
      <c r="AN53" s="225">
        <f t="shared" si="16"/>
        <v>1</v>
      </c>
      <c r="AO53" s="225">
        <f t="shared" si="16"/>
        <v>1</v>
      </c>
      <c r="AP53" s="225">
        <f t="shared" si="16"/>
        <v>1</v>
      </c>
    </row>
    <row r="54" spans="1:42">
      <c r="A54" s="225" t="s">
        <v>16</v>
      </c>
      <c r="B54" s="226"/>
    </row>
    <row r="55" spans="1:42" ht="15.75" thickBot="1">
      <c r="A55" s="225" t="s">
        <v>16</v>
      </c>
      <c r="B55" s="14" t="s">
        <v>289</v>
      </c>
      <c r="C55" s="14"/>
    </row>
    <row r="56" spans="1:42">
      <c r="A56" s="225" t="s">
        <v>16</v>
      </c>
      <c r="B56" s="226" t="s">
        <v>107</v>
      </c>
      <c r="C56" s="226" t="s">
        <v>108</v>
      </c>
    </row>
    <row r="57" spans="1:42">
      <c r="A57" s="225" t="s">
        <v>16</v>
      </c>
      <c r="B57" s="226" t="s">
        <v>109</v>
      </c>
      <c r="C57" s="226" t="s">
        <v>110</v>
      </c>
    </row>
    <row r="58" spans="1:42">
      <c r="A58" s="225" t="s">
        <v>16</v>
      </c>
      <c r="B58" s="226" t="s">
        <v>111</v>
      </c>
      <c r="C58" s="226" t="s">
        <v>73</v>
      </c>
    </row>
    <row r="59" spans="1:42">
      <c r="A59" s="225" t="s">
        <v>16</v>
      </c>
      <c r="B59" s="226" t="s">
        <v>112</v>
      </c>
      <c r="C59" s="226" t="s">
        <v>72</v>
      </c>
    </row>
    <row r="60" spans="1:42">
      <c r="A60" s="225" t="s">
        <v>16</v>
      </c>
      <c r="B60" s="226" t="s">
        <v>113</v>
      </c>
      <c r="C60" s="226" t="s">
        <v>114</v>
      </c>
    </row>
    <row r="61" spans="1:42">
      <c r="A61" s="225" t="s">
        <v>16</v>
      </c>
      <c r="B61" s="226" t="s">
        <v>115</v>
      </c>
      <c r="C61" s="226" t="s">
        <v>116</v>
      </c>
    </row>
    <row r="62" spans="1:42">
      <c r="A62" s="225" t="s">
        <v>16</v>
      </c>
      <c r="B62" s="226" t="s">
        <v>117</v>
      </c>
      <c r="C62" s="226" t="s">
        <v>118</v>
      </c>
    </row>
    <row r="63" spans="1:42">
      <c r="A63" s="225" t="s">
        <v>16</v>
      </c>
      <c r="B63" s="226" t="s">
        <v>119</v>
      </c>
      <c r="C63" s="226" t="s">
        <v>120</v>
      </c>
    </row>
    <row r="64" spans="1:42">
      <c r="A64" s="225" t="s">
        <v>16</v>
      </c>
      <c r="B64" s="226" t="s">
        <v>37</v>
      </c>
      <c r="C64" s="226" t="s">
        <v>121</v>
      </c>
    </row>
    <row r="65" spans="1:48">
      <c r="A65" s="225" t="s">
        <v>16</v>
      </c>
      <c r="B65" s="226" t="s">
        <v>122</v>
      </c>
      <c r="C65" s="226" t="s">
        <v>123</v>
      </c>
    </row>
    <row r="66" spans="1:48">
      <c r="A66" s="225" t="s">
        <v>16</v>
      </c>
      <c r="B66" s="226" t="s">
        <v>221</v>
      </c>
      <c r="C66" s="226" t="s">
        <v>220</v>
      </c>
    </row>
    <row r="67" spans="1:48">
      <c r="A67" s="225" t="s">
        <v>16</v>
      </c>
      <c r="B67" s="226" t="s">
        <v>124</v>
      </c>
      <c r="C67" s="226" t="s">
        <v>2</v>
      </c>
      <c r="P67" s="225" t="str">
        <f>ADDRESS(ROW(),1)</f>
        <v>$A$67</v>
      </c>
    </row>
    <row r="68" spans="1:48">
      <c r="A68" s="225" t="s">
        <v>16</v>
      </c>
      <c r="B68" s="226"/>
      <c r="C68" s="226"/>
      <c r="P68" s="225" t="str">
        <f ca="1">INDIRECT(P67)</f>
        <v>*</v>
      </c>
    </row>
    <row r="69" spans="1:48" ht="23.25">
      <c r="A69" s="225"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61" t="str">
        <f>'[5]TS BYDem'!A10</f>
        <v/>
      </c>
      <c r="B71" s="225" t="s">
        <v>288</v>
      </c>
      <c r="C71" s="225" t="s">
        <v>137</v>
      </c>
      <c r="D71" s="225" t="str">
        <f>'[5]TS BYDem'!D10</f>
        <v>IMIK</v>
      </c>
      <c r="E71" s="225" t="s">
        <v>137</v>
      </c>
      <c r="F71" s="225" t="s">
        <v>137</v>
      </c>
      <c r="G71" s="225" t="s">
        <v>137</v>
      </c>
      <c r="H71" s="225" t="s">
        <v>137</v>
      </c>
      <c r="I71" s="225">
        <v>0</v>
      </c>
      <c r="J71" s="225">
        <f>INDEX('[5]TS BYDem'!$J$10:$J$203,MATCH(D71,'[5]TS BYDem'!$D$10:$D$203,0))</f>
        <v>2.1376388478991801</v>
      </c>
      <c r="K71" s="225">
        <f t="shared" ref="K71:Z86" ca="1" si="19">K$70/J$70*J71</f>
        <v>2.1940309602928449</v>
      </c>
      <c r="L71" s="225">
        <f t="shared" ca="1" si="19"/>
        <v>2.1979720741160493</v>
      </c>
      <c r="M71" s="232">
        <f>O71</f>
        <v>2.2014400000000003</v>
      </c>
      <c r="N71" s="232">
        <f>O71</f>
        <v>2.2014400000000003</v>
      </c>
      <c r="O71" s="232">
        <f>INDEX('[5]TS BYDem'!$O$10:$O$203,MATCH(D71,'[5]TS BYDem'!$D$10:$D$203,0))</f>
        <v>2.2014400000000003</v>
      </c>
      <c r="P71" s="225">
        <f t="shared" ca="1" si="19"/>
        <v>2.1849293434310924</v>
      </c>
      <c r="Q71" s="225">
        <f t="shared" ca="1" si="19"/>
        <v>2.1541455272582901</v>
      </c>
      <c r="R71" s="225">
        <f t="shared" ca="1" si="19"/>
        <v>1.9851765027447228</v>
      </c>
      <c r="S71" s="225">
        <f t="shared" ca="1" si="19"/>
        <v>2.0283758823100992</v>
      </c>
      <c r="T71" s="225">
        <f t="shared" ca="1" si="19"/>
        <v>2.0652439079681733</v>
      </c>
      <c r="U71" s="225">
        <f t="shared" ca="1" si="19"/>
        <v>2.1004851701746681</v>
      </c>
      <c r="V71" s="225">
        <f t="shared" ca="1" si="19"/>
        <v>2.1347025969128732</v>
      </c>
      <c r="W71" s="225">
        <f t="shared" ca="1" si="19"/>
        <v>2.1781845948595406</v>
      </c>
      <c r="X71" s="225">
        <f t="shared" ca="1" si="19"/>
        <v>2.241191280810753</v>
      </c>
      <c r="Y71" s="225">
        <f t="shared" ca="1" si="19"/>
        <v>2.3090189869257927</v>
      </c>
      <c r="Z71" s="225">
        <f t="shared" ca="1" si="19"/>
        <v>2.381725119669504</v>
      </c>
      <c r="AA71" s="225">
        <f t="shared" ref="AA71:AP86" ca="1" si="20">AA$70/Z$70*Z71</f>
        <v>2.4474876361380966</v>
      </c>
      <c r="AB71" s="225">
        <f t="shared" ca="1" si="20"/>
        <v>2.5223318431356025</v>
      </c>
      <c r="AC71" s="225">
        <f t="shared" ca="1" si="20"/>
        <v>2.5829555182199155</v>
      </c>
      <c r="AD71" s="225">
        <f t="shared" ca="1" si="20"/>
        <v>2.6391721530941981</v>
      </c>
      <c r="AE71" s="225">
        <f t="shared" ca="1" si="20"/>
        <v>2.699043406679237</v>
      </c>
      <c r="AF71" s="225">
        <f t="shared" ca="1" si="20"/>
        <v>2.7614943911189282</v>
      </c>
      <c r="AG71" s="225">
        <f t="shared" ca="1" si="20"/>
        <v>2.8251277522003346</v>
      </c>
      <c r="AH71" s="225">
        <f t="shared" ca="1" si="20"/>
        <v>2.8954254179895909</v>
      </c>
      <c r="AI71" s="225">
        <f t="shared" ca="1" si="20"/>
        <v>2.9685177922047199</v>
      </c>
      <c r="AJ71" s="225">
        <f t="shared" ca="1" si="20"/>
        <v>3.041717655205459</v>
      </c>
      <c r="AK71" s="225">
        <f t="shared" ca="1" si="20"/>
        <v>3.1177122266320714</v>
      </c>
      <c r="AL71" s="225">
        <f t="shared" ca="1" si="20"/>
        <v>3.1990812373392075</v>
      </c>
      <c r="AM71" s="225">
        <f t="shared" ca="1" si="20"/>
        <v>3.5934575917440705</v>
      </c>
      <c r="AN71" s="225">
        <f t="shared" ca="1" si="20"/>
        <v>4.0845738531983695</v>
      </c>
      <c r="AO71" s="225">
        <f t="shared" ca="1" si="20"/>
        <v>4.9539431512159702</v>
      </c>
      <c r="AP71" s="225">
        <f t="shared" ca="1" si="20"/>
        <v>5.8394357670751429</v>
      </c>
    </row>
    <row r="72" spans="1:48">
      <c r="A72" s="61" t="str">
        <f>'[5]TS BYDem'!A11</f>
        <v/>
      </c>
      <c r="B72" s="225" t="s">
        <v>288</v>
      </c>
      <c r="C72" s="225" t="s">
        <v>137</v>
      </c>
      <c r="D72" s="225" t="str">
        <f>'[5]TS BYDem'!D11</f>
        <v>IMIA</v>
      </c>
      <c r="E72" s="225" t="s">
        <v>137</v>
      </c>
      <c r="F72" s="225" t="s">
        <v>137</v>
      </c>
      <c r="G72" s="225" t="s">
        <v>137</v>
      </c>
      <c r="H72" s="225" t="s">
        <v>137</v>
      </c>
      <c r="I72" s="225">
        <v>0</v>
      </c>
      <c r="J72" s="225">
        <f>INDEX('[5]TS BYDem'!$J$10:$J$203,MATCH(D72,'[5]TS BYDem'!$D$10:$D$203,0))</f>
        <v>0.99318058118269725</v>
      </c>
      <c r="K72" s="225">
        <f t="shared" ca="1" si="19"/>
        <v>1.0193812422608317</v>
      </c>
      <c r="L72" s="225">
        <f t="shared" ca="1" si="19"/>
        <v>1.0212123456398166</v>
      </c>
      <c r="M72" s="232">
        <f t="shared" ref="M72:M79" si="21">O72</f>
        <v>1.0228235984706235</v>
      </c>
      <c r="N72" s="232">
        <f t="shared" ref="N72:N81" si="22">O72</f>
        <v>1.0228235984706235</v>
      </c>
      <c r="O72" s="232">
        <f>INDEX('[5]TS BYDem'!$O$10:$O$203,MATCH(D72,'[5]TS BYDem'!$D$10:$D$203,0))</f>
        <v>1.0228235984706235</v>
      </c>
      <c r="P72" s="225">
        <f t="shared" ca="1" si="19"/>
        <v>1.0151524881224319</v>
      </c>
      <c r="Q72" s="225">
        <f t="shared" ca="1" si="19"/>
        <v>1.000849843656753</v>
      </c>
      <c r="R72" s="225">
        <f t="shared" ca="1" si="19"/>
        <v>0.92234418114356254</v>
      </c>
      <c r="S72" s="225">
        <f t="shared" ca="1" si="19"/>
        <v>0.94241529135267876</v>
      </c>
      <c r="T72" s="225">
        <f t="shared" ca="1" si="19"/>
        <v>0.95954475510008885</v>
      </c>
      <c r="U72" s="225">
        <f t="shared" ca="1" si="19"/>
        <v>0.97591839899894306</v>
      </c>
      <c r="V72" s="225">
        <f t="shared" ca="1" si="19"/>
        <v>0.9918163528594961</v>
      </c>
      <c r="W72" s="225">
        <f t="shared" ca="1" si="19"/>
        <v>1.0120187720071914</v>
      </c>
      <c r="X72" s="225">
        <f t="shared" ca="1" si="19"/>
        <v>1.0412926678446102</v>
      </c>
      <c r="Y72" s="225">
        <f t="shared" ca="1" si="19"/>
        <v>1.0728064853661383</v>
      </c>
      <c r="Z72" s="225">
        <f t="shared" ca="1" si="19"/>
        <v>1.106586896516933</v>
      </c>
      <c r="AA72" s="225">
        <f t="shared" ca="1" si="20"/>
        <v>1.1371411944941159</v>
      </c>
      <c r="AB72" s="225">
        <f t="shared" ca="1" si="20"/>
        <v>1.1719149885225106</v>
      </c>
      <c r="AC72" s="225">
        <f t="shared" ca="1" si="20"/>
        <v>1.2000817000850563</v>
      </c>
      <c r="AD72" s="225">
        <f t="shared" ca="1" si="20"/>
        <v>1.226200831551743</v>
      </c>
      <c r="AE72" s="225">
        <f t="shared" ca="1" si="20"/>
        <v>1.2540179562686542</v>
      </c>
      <c r="AF72" s="225">
        <f t="shared" ca="1" si="20"/>
        <v>1.2830336644563121</v>
      </c>
      <c r="AG72" s="225">
        <f t="shared" ca="1" si="20"/>
        <v>1.3125987234013954</v>
      </c>
      <c r="AH72" s="225">
        <f t="shared" ca="1" si="20"/>
        <v>1.3452601229792409</v>
      </c>
      <c r="AI72" s="225">
        <f t="shared" ca="1" si="20"/>
        <v>1.3792199879837288</v>
      </c>
      <c r="AJ72" s="225">
        <f t="shared" ca="1" si="20"/>
        <v>1.4132297939661642</v>
      </c>
      <c r="AK72" s="225">
        <f t="shared" ca="1" si="20"/>
        <v>1.448538065375242</v>
      </c>
      <c r="AL72" s="225">
        <f t="shared" ca="1" si="20"/>
        <v>1.4863433856817083</v>
      </c>
      <c r="AM72" s="225">
        <f t="shared" ca="1" si="20"/>
        <v>1.669576833772098</v>
      </c>
      <c r="AN72" s="225">
        <f t="shared" ca="1" si="20"/>
        <v>1.8977571620154867</v>
      </c>
      <c r="AO72" s="225">
        <f t="shared" ca="1" si="20"/>
        <v>2.3016797916571039</v>
      </c>
      <c r="AP72" s="225">
        <f t="shared" ca="1" si="20"/>
        <v>2.7130935679908874</v>
      </c>
    </row>
    <row r="73" spans="1:48">
      <c r="A73" s="61" t="str">
        <f>'[5]TS BYDem'!A12</f>
        <v/>
      </c>
      <c r="B73" s="225" t="s">
        <v>288</v>
      </c>
      <c r="C73" s="225" t="s">
        <v>137</v>
      </c>
      <c r="D73" s="225" t="str">
        <f>'[5]TS BYDem'!D12</f>
        <v>IMIL</v>
      </c>
      <c r="E73" s="225" t="s">
        <v>137</v>
      </c>
      <c r="F73" s="225" t="s">
        <v>137</v>
      </c>
      <c r="G73" s="225" t="s">
        <v>137</v>
      </c>
      <c r="H73" s="225" t="s">
        <v>137</v>
      </c>
      <c r="I73" s="225">
        <v>0</v>
      </c>
      <c r="J73" s="225">
        <f>INDEX('[5]TS BYDem'!$J$10:$J$203,MATCH(D73,'[5]TS BYDem'!$D$10:$D$203,0))</f>
        <v>1.4429062223319464</v>
      </c>
      <c r="K73" s="225">
        <f t="shared" ca="1" si="19"/>
        <v>1.4809708981976701</v>
      </c>
      <c r="L73" s="225">
        <f t="shared" ca="1" si="19"/>
        <v>1.483631150028333</v>
      </c>
      <c r="M73" s="232">
        <f t="shared" si="21"/>
        <v>1.4859720000000001</v>
      </c>
      <c r="N73" s="232">
        <f t="shared" si="22"/>
        <v>1.4859720000000001</v>
      </c>
      <c r="O73" s="232">
        <f>INDEX('[5]TS BYDem'!$O$10:$O$203,MATCH(D73,'[5]TS BYDem'!$D$10:$D$203,0))</f>
        <v>1.4859720000000001</v>
      </c>
      <c r="P73" s="225">
        <f t="shared" ca="1" si="19"/>
        <v>1.4748273068159872</v>
      </c>
      <c r="Q73" s="225">
        <f t="shared" ca="1" si="19"/>
        <v>1.4540482308993454</v>
      </c>
      <c r="R73" s="225">
        <f t="shared" ca="1" si="19"/>
        <v>1.3399941393526875</v>
      </c>
      <c r="S73" s="225">
        <f t="shared" ca="1" si="19"/>
        <v>1.3691537205593167</v>
      </c>
      <c r="T73" s="225">
        <f t="shared" ca="1" si="19"/>
        <v>1.3940396378785167</v>
      </c>
      <c r="U73" s="225">
        <f t="shared" ca="1" si="19"/>
        <v>1.4178274898679006</v>
      </c>
      <c r="V73" s="225">
        <f t="shared" ca="1" si="19"/>
        <v>1.440924252916189</v>
      </c>
      <c r="W73" s="225">
        <f t="shared" ca="1" si="19"/>
        <v>1.4702746015301893</v>
      </c>
      <c r="X73" s="225">
        <f t="shared" ca="1" si="19"/>
        <v>1.5128041145472575</v>
      </c>
      <c r="Y73" s="225">
        <f t="shared" ca="1" si="19"/>
        <v>1.5585878161749094</v>
      </c>
      <c r="Z73" s="225">
        <f t="shared" ca="1" si="19"/>
        <v>1.6076644557769144</v>
      </c>
      <c r="AA73" s="225">
        <f t="shared" ca="1" si="20"/>
        <v>1.6520541543932143</v>
      </c>
      <c r="AB73" s="225">
        <f t="shared" ca="1" si="20"/>
        <v>1.7025739941165308</v>
      </c>
      <c r="AC73" s="225">
        <f t="shared" ca="1" si="20"/>
        <v>1.7434949747984421</v>
      </c>
      <c r="AD73" s="225">
        <f t="shared" ca="1" si="20"/>
        <v>1.7814412033385827</v>
      </c>
      <c r="AE73" s="225">
        <f t="shared" ca="1" si="20"/>
        <v>1.8218542995084841</v>
      </c>
      <c r="AF73" s="225">
        <f t="shared" ca="1" si="20"/>
        <v>1.8640087140052755</v>
      </c>
      <c r="AG73" s="225">
        <f t="shared" ca="1" si="20"/>
        <v>1.9069612327352246</v>
      </c>
      <c r="AH73" s="225">
        <f t="shared" ca="1" si="20"/>
        <v>1.9544121571429725</v>
      </c>
      <c r="AI73" s="225">
        <f t="shared" ca="1" si="20"/>
        <v>2.0037495097381846</v>
      </c>
      <c r="AJ73" s="225">
        <f t="shared" ca="1" si="20"/>
        <v>2.0531594172636836</v>
      </c>
      <c r="AK73" s="225">
        <f t="shared" ca="1" si="20"/>
        <v>2.1044557529766466</v>
      </c>
      <c r="AL73" s="225">
        <f t="shared" ca="1" si="20"/>
        <v>2.1593798352039633</v>
      </c>
      <c r="AM73" s="225">
        <f t="shared" ca="1" si="20"/>
        <v>2.4255838744272453</v>
      </c>
      <c r="AN73" s="225">
        <f t="shared" ca="1" si="20"/>
        <v>2.7570873509088969</v>
      </c>
      <c r="AO73" s="225">
        <f t="shared" ca="1" si="20"/>
        <v>3.3439116270707769</v>
      </c>
      <c r="AP73" s="225">
        <f t="shared" ca="1" si="20"/>
        <v>3.9416191427757181</v>
      </c>
    </row>
    <row r="74" spans="1:48">
      <c r="A74" s="61" t="str">
        <f>'[5]TS BYDem'!A13</f>
        <v/>
      </c>
      <c r="B74" s="225" t="s">
        <v>288</v>
      </c>
      <c r="C74" s="225" t="s">
        <v>137</v>
      </c>
      <c r="D74" s="225" t="str">
        <f>'[5]TS BYDem'!D13</f>
        <v>IMIC</v>
      </c>
      <c r="E74" s="225" t="s">
        <v>137</v>
      </c>
      <c r="F74" s="225" t="s">
        <v>137</v>
      </c>
      <c r="G74" s="225" t="s">
        <v>137</v>
      </c>
      <c r="H74" s="225" t="s">
        <v>137</v>
      </c>
      <c r="I74" s="225">
        <v>0</v>
      </c>
      <c r="J74" s="225">
        <f>INDEX('[5]TS BYDem'!$J$10:$J$203,MATCH(D74,'[5]TS BYDem'!$D$10:$D$203,0))</f>
        <v>17.35324025908308</v>
      </c>
      <c r="K74" s="225">
        <f t="shared" ca="1" si="19"/>
        <v>17.811028475294727</v>
      </c>
      <c r="L74" s="225">
        <f t="shared" ca="1" si="19"/>
        <v>17.843022230989085</v>
      </c>
      <c r="M74" s="232">
        <f t="shared" si="21"/>
        <v>17.871174671764589</v>
      </c>
      <c r="N74" s="232">
        <f t="shared" si="22"/>
        <v>17.871174671764589</v>
      </c>
      <c r="O74" s="232">
        <f>INDEX('[5]TS BYDem'!$O$10:$O$203,MATCH(D74,'[5]TS BYDem'!$D$10:$D$203,0))</f>
        <v>17.871174671764589</v>
      </c>
      <c r="P74" s="225">
        <f t="shared" ca="1" si="19"/>
        <v>17.737142026092449</v>
      </c>
      <c r="Q74" s="225">
        <f t="shared" ca="1" si="19"/>
        <v>17.48724061797429</v>
      </c>
      <c r="R74" s="225">
        <f t="shared" ca="1" si="19"/>
        <v>16.115558922720439</v>
      </c>
      <c r="S74" s="225">
        <f t="shared" ca="1" si="19"/>
        <v>16.466249224488692</v>
      </c>
      <c r="T74" s="225">
        <f t="shared" ca="1" si="19"/>
        <v>16.765541926692041</v>
      </c>
      <c r="U74" s="225">
        <f t="shared" ca="1" si="19"/>
        <v>17.051628648358641</v>
      </c>
      <c r="V74" s="225">
        <f t="shared" ca="1" si="19"/>
        <v>17.32940392729278</v>
      </c>
      <c r="W74" s="225">
        <f t="shared" ca="1" si="19"/>
        <v>17.682388510284913</v>
      </c>
      <c r="X74" s="225">
        <f t="shared" ca="1" si="19"/>
        <v>18.193873488355234</v>
      </c>
      <c r="Y74" s="225">
        <f t="shared" ca="1" si="19"/>
        <v>18.744495255728857</v>
      </c>
      <c r="Z74" s="225">
        <f t="shared" ca="1" si="19"/>
        <v>19.334719835082083</v>
      </c>
      <c r="AA74" s="225">
        <f t="shared" ca="1" si="20"/>
        <v>19.868576501021202</v>
      </c>
      <c r="AB74" s="225">
        <f t="shared" ca="1" si="20"/>
        <v>20.476157855235776</v>
      </c>
      <c r="AC74" s="225">
        <f t="shared" ca="1" si="20"/>
        <v>20.968297675842315</v>
      </c>
      <c r="AD74" s="225">
        <f t="shared" ca="1" si="20"/>
        <v>21.42466137473809</v>
      </c>
      <c r="AE74" s="225">
        <f t="shared" ca="1" si="20"/>
        <v>21.910693077003764</v>
      </c>
      <c r="AF74" s="225">
        <f t="shared" ca="1" si="20"/>
        <v>22.417666899295252</v>
      </c>
      <c r="AG74" s="225">
        <f t="shared" ca="1" si="20"/>
        <v>22.934239193265235</v>
      </c>
      <c r="AH74" s="225">
        <f t="shared" ca="1" si="20"/>
        <v>23.50491196396856</v>
      </c>
      <c r="AI74" s="225">
        <f t="shared" ca="1" si="20"/>
        <v>24.098272031366513</v>
      </c>
      <c r="AJ74" s="225">
        <f t="shared" ca="1" si="20"/>
        <v>24.692504687098872</v>
      </c>
      <c r="AK74" s="225">
        <f t="shared" ca="1" si="20"/>
        <v>25.309424639525862</v>
      </c>
      <c r="AL74" s="225">
        <f t="shared" ca="1" si="20"/>
        <v>25.969974008673287</v>
      </c>
      <c r="AM74" s="225">
        <f t="shared" ca="1" si="20"/>
        <v>29.171500607618992</v>
      </c>
      <c r="AN74" s="225">
        <f t="shared" ca="1" si="20"/>
        <v>33.158356707532583</v>
      </c>
      <c r="AO74" s="225">
        <f t="shared" ca="1" si="20"/>
        <v>40.215851156230663</v>
      </c>
      <c r="AP74" s="225">
        <f t="shared" ca="1" si="20"/>
        <v>47.404233855090048</v>
      </c>
    </row>
    <row r="75" spans="1:48">
      <c r="A75" s="61" t="str">
        <f>'[5]TS BYDem'!A14</f>
        <v/>
      </c>
      <c r="B75" s="225" t="s">
        <v>288</v>
      </c>
      <c r="C75" s="225" t="s">
        <v>137</v>
      </c>
      <c r="D75" s="225" t="str">
        <f>'[5]TS BYDem'!D14</f>
        <v>IMIH</v>
      </c>
      <c r="E75" s="225" t="s">
        <v>137</v>
      </c>
      <c r="F75" s="225" t="s">
        <v>137</v>
      </c>
      <c r="G75" s="225" t="s">
        <v>137</v>
      </c>
      <c r="H75" s="225" t="s">
        <v>137</v>
      </c>
      <c r="I75" s="225">
        <v>0</v>
      </c>
      <c r="J75" s="225">
        <f>INDEX('[5]TS BYDem'!$J$10:$J$203,MATCH(D75,'[5]TS BYDem'!$D$10:$D$203,0))</f>
        <v>7.6954998524370488</v>
      </c>
      <c r="K75" s="225">
        <f t="shared" ca="1" si="19"/>
        <v>7.8985114570542425</v>
      </c>
      <c r="L75" s="225">
        <f t="shared" ca="1" si="19"/>
        <v>7.9126994668177781</v>
      </c>
      <c r="M75" s="232">
        <f t="shared" si="21"/>
        <v>7.9251840000000016</v>
      </c>
      <c r="N75" s="232">
        <f t="shared" si="22"/>
        <v>7.9251840000000016</v>
      </c>
      <c r="O75" s="232">
        <f>INDEX('[5]TS BYDem'!$O$10:$O$203,MATCH(D75,'[5]TS BYDem'!$D$10:$D$203,0))</f>
        <v>7.9251840000000016</v>
      </c>
      <c r="P75" s="225">
        <f t="shared" ca="1" si="19"/>
        <v>7.8657456363519334</v>
      </c>
      <c r="Q75" s="225">
        <f t="shared" ca="1" si="19"/>
        <v>7.754923898129845</v>
      </c>
      <c r="R75" s="225">
        <f t="shared" ca="1" si="19"/>
        <v>7.1466354098810019</v>
      </c>
      <c r="S75" s="225">
        <f t="shared" ca="1" si="19"/>
        <v>7.3021531763163576</v>
      </c>
      <c r="T75" s="225">
        <f t="shared" ca="1" si="19"/>
        <v>7.4348780686854239</v>
      </c>
      <c r="U75" s="225">
        <f t="shared" ca="1" si="19"/>
        <v>7.5617466126288049</v>
      </c>
      <c r="V75" s="225">
        <f t="shared" ca="1" si="19"/>
        <v>7.6849293488863433</v>
      </c>
      <c r="W75" s="225">
        <f t="shared" ca="1" si="19"/>
        <v>7.8414645414943456</v>
      </c>
      <c r="X75" s="225">
        <f t="shared" ca="1" si="19"/>
        <v>8.0682886109187102</v>
      </c>
      <c r="Y75" s="225">
        <f t="shared" ca="1" si="19"/>
        <v>8.3124683529328536</v>
      </c>
      <c r="Z75" s="225">
        <f t="shared" ca="1" si="19"/>
        <v>8.5742104308102149</v>
      </c>
      <c r="AA75" s="225">
        <f t="shared" ca="1" si="20"/>
        <v>8.8109554900971485</v>
      </c>
      <c r="AB75" s="225">
        <f t="shared" ca="1" si="20"/>
        <v>9.0803946352881706</v>
      </c>
      <c r="AC75" s="225">
        <f t="shared" ca="1" si="20"/>
        <v>9.2986398655916975</v>
      </c>
      <c r="AD75" s="225">
        <f t="shared" ca="1" si="20"/>
        <v>9.5010197511391148</v>
      </c>
      <c r="AE75" s="225">
        <f t="shared" ca="1" si="20"/>
        <v>9.7165562640452556</v>
      </c>
      <c r="AF75" s="225">
        <f t="shared" ca="1" si="20"/>
        <v>9.9413798080281435</v>
      </c>
      <c r="AG75" s="225">
        <f t="shared" ca="1" si="20"/>
        <v>10.170459907921206</v>
      </c>
      <c r="AH75" s="225">
        <f t="shared" ca="1" si="20"/>
        <v>10.423531504762527</v>
      </c>
      <c r="AI75" s="225">
        <f t="shared" ca="1" si="20"/>
        <v>10.686664051936992</v>
      </c>
      <c r="AJ75" s="225">
        <f t="shared" ca="1" si="20"/>
        <v>10.950183558739653</v>
      </c>
      <c r="AK75" s="225">
        <f t="shared" ca="1" si="20"/>
        <v>11.223764015875457</v>
      </c>
      <c r="AL75" s="225">
        <f t="shared" ca="1" si="20"/>
        <v>11.516692454421145</v>
      </c>
      <c r="AM75" s="225">
        <f t="shared" ca="1" si="20"/>
        <v>12.936447330278652</v>
      </c>
      <c r="AN75" s="225">
        <f t="shared" ca="1" si="20"/>
        <v>14.704465871514129</v>
      </c>
      <c r="AO75" s="225">
        <f t="shared" ca="1" si="20"/>
        <v>17.834195344377491</v>
      </c>
      <c r="AP75" s="225">
        <f t="shared" ca="1" si="20"/>
        <v>21.021968761470514</v>
      </c>
    </row>
    <row r="76" spans="1:48">
      <c r="A76" s="61" t="str">
        <f>'[5]TS BYDem'!A15</f>
        <v/>
      </c>
      <c r="B76" s="225" t="s">
        <v>288</v>
      </c>
      <c r="C76" s="225" t="s">
        <v>137</v>
      </c>
      <c r="D76" s="225" t="str">
        <f>'[5]TS BYDem'!D15</f>
        <v>IMIP</v>
      </c>
      <c r="E76" s="225" t="s">
        <v>137</v>
      </c>
      <c r="F76" s="225" t="s">
        <v>137</v>
      </c>
      <c r="G76" s="225" t="s">
        <v>137</v>
      </c>
      <c r="H76" s="225" t="s">
        <v>137</v>
      </c>
      <c r="I76" s="225">
        <v>0</v>
      </c>
      <c r="J76" s="225">
        <f>INDEX('[5]TS BYDem'!$J$10:$J$203,MATCH(D76,'[5]TS BYDem'!$D$10:$D$203,0))</f>
        <v>15.294517272248457</v>
      </c>
      <c r="K76" s="225">
        <f t="shared" ca="1" si="19"/>
        <v>15.697995220766805</v>
      </c>
      <c r="L76" s="225">
        <f t="shared" ca="1" si="19"/>
        <v>15.726193357931152</v>
      </c>
      <c r="M76" s="232">
        <f t="shared" si="21"/>
        <v>15.751005899293361</v>
      </c>
      <c r="N76" s="232">
        <f t="shared" si="22"/>
        <v>15.751005899293361</v>
      </c>
      <c r="O76" s="232">
        <f>INDEX('[5]TS BYDem'!$O$10:$O$203,MATCH(D76,'[5]TS BYDem'!$D$10:$D$203,0))</f>
        <v>15.751005899293361</v>
      </c>
      <c r="P76" s="225">
        <f t="shared" ca="1" si="19"/>
        <v>15.632874381278754</v>
      </c>
      <c r="Q76" s="225">
        <f t="shared" ca="1" si="19"/>
        <v>15.412620333864073</v>
      </c>
      <c r="R76" s="225">
        <f t="shared" ca="1" si="19"/>
        <v>14.203669782447253</v>
      </c>
      <c r="S76" s="225">
        <f t="shared" ca="1" si="19"/>
        <v>14.512755509235202</v>
      </c>
      <c r="T76" s="225">
        <f t="shared" ca="1" si="19"/>
        <v>14.776541253854916</v>
      </c>
      <c r="U76" s="225">
        <f t="shared" ca="1" si="19"/>
        <v>15.028687725670201</v>
      </c>
      <c r="V76" s="225">
        <f t="shared" ca="1" si="19"/>
        <v>15.273508792977102</v>
      </c>
      <c r="W76" s="225">
        <f t="shared" ca="1" si="19"/>
        <v>15.584616616116055</v>
      </c>
      <c r="X76" s="225">
        <f t="shared" ca="1" si="19"/>
        <v>16.035420945151806</v>
      </c>
      <c r="Y76" s="225">
        <f t="shared" ca="1" si="19"/>
        <v>16.520719022389219</v>
      </c>
      <c r="Z76" s="225">
        <f t="shared" ca="1" si="19"/>
        <v>17.040921583331603</v>
      </c>
      <c r="AA76" s="225">
        <f t="shared" ca="1" si="20"/>
        <v>17.511443507549014</v>
      </c>
      <c r="AB76" s="225">
        <f t="shared" ca="1" si="20"/>
        <v>18.046943701034028</v>
      </c>
      <c r="AC76" s="225">
        <f t="shared" ca="1" si="20"/>
        <v>18.480697909138659</v>
      </c>
      <c r="AD76" s="225">
        <f t="shared" ca="1" si="20"/>
        <v>18.882920339703762</v>
      </c>
      <c r="AE76" s="225">
        <f t="shared" ca="1" si="20"/>
        <v>19.311291073594326</v>
      </c>
      <c r="AF76" s="225">
        <f t="shared" ca="1" si="20"/>
        <v>19.758119433361685</v>
      </c>
      <c r="AG76" s="225">
        <f t="shared" ca="1" si="20"/>
        <v>20.213407538322571</v>
      </c>
      <c r="AH76" s="225">
        <f t="shared" ca="1" si="20"/>
        <v>20.716377843465171</v>
      </c>
      <c r="AI76" s="225">
        <f t="shared" ca="1" si="20"/>
        <v>21.239343909974298</v>
      </c>
      <c r="AJ76" s="225">
        <f t="shared" ca="1" si="20"/>
        <v>21.763079044228292</v>
      </c>
      <c r="AK76" s="225">
        <f t="shared" ca="1" si="20"/>
        <v>22.306809939848812</v>
      </c>
      <c r="AL76" s="225">
        <f t="shared" ca="1" si="20"/>
        <v>22.888994222712647</v>
      </c>
      <c r="AM76" s="225">
        <f t="shared" ca="1" si="20"/>
        <v>25.710703778627323</v>
      </c>
      <c r="AN76" s="225">
        <f t="shared" ca="1" si="20"/>
        <v>29.224574304921731</v>
      </c>
      <c r="AO76" s="225">
        <f t="shared" ca="1" si="20"/>
        <v>35.44479422540094</v>
      </c>
      <c r="AP76" s="225">
        <f t="shared" ca="1" si="20"/>
        <v>41.780374307610103</v>
      </c>
    </row>
    <row r="77" spans="1:48">
      <c r="A77" s="61" t="str">
        <f>'[5]TS BYDem'!A16</f>
        <v/>
      </c>
      <c r="B77" s="225" t="s">
        <v>288</v>
      </c>
      <c r="C77" s="225" t="s">
        <v>137</v>
      </c>
      <c r="D77" s="225" t="str">
        <f>'[5]TS BYDem'!D16</f>
        <v>IMIF</v>
      </c>
      <c r="E77" s="225" t="s">
        <v>137</v>
      </c>
      <c r="F77" s="225" t="s">
        <v>137</v>
      </c>
      <c r="G77" s="225" t="s">
        <v>137</v>
      </c>
      <c r="H77" s="225" t="s">
        <v>137</v>
      </c>
      <c r="I77" s="225">
        <v>0</v>
      </c>
      <c r="J77" s="225">
        <f>INDEX('[5]TS BYDem'!$J$10:$J$203,MATCH(D77,'[5]TS BYDem'!$D$10:$D$203,0))</f>
        <v>5.8889063414920679</v>
      </c>
      <c r="K77" s="225">
        <f t="shared" ca="1" si="19"/>
        <v>6.0442589954782893</v>
      </c>
      <c r="L77" s="225">
        <f t="shared" ca="1" si="19"/>
        <v>6.055116231820536</v>
      </c>
      <c r="M77" s="232">
        <f t="shared" si="21"/>
        <v>6.0646698992933636</v>
      </c>
      <c r="N77" s="232">
        <f t="shared" si="22"/>
        <v>6.0646698992933636</v>
      </c>
      <c r="O77" s="232">
        <f>INDEX('[5]TS BYDem'!$O$10:$O$203,MATCH(D77,'[5]TS BYDem'!$D$10:$D$203,0))</f>
        <v>6.0646698992933636</v>
      </c>
      <c r="P77" s="225">
        <f t="shared" ca="1" si="19"/>
        <v>6.0191852701819517</v>
      </c>
      <c r="Q77" s="225">
        <f t="shared" ca="1" si="19"/>
        <v>5.9343800139276022</v>
      </c>
      <c r="R77" s="225">
        <f t="shared" ca="1" si="19"/>
        <v>5.4688931703704782</v>
      </c>
      <c r="S77" s="225">
        <f t="shared" ca="1" si="19"/>
        <v>5.5879016270707691</v>
      </c>
      <c r="T77" s="225">
        <f t="shared" ca="1" si="19"/>
        <v>5.6894680587949571</v>
      </c>
      <c r="U77" s="225">
        <f t="shared" ca="1" si="19"/>
        <v>5.7865529769016657</v>
      </c>
      <c r="V77" s="225">
        <f t="shared" ca="1" si="19"/>
        <v>5.8808173665604651</v>
      </c>
      <c r="W77" s="225">
        <f t="shared" ca="1" si="19"/>
        <v>6.0006043987340822</v>
      </c>
      <c r="X77" s="225">
        <f t="shared" ca="1" si="19"/>
        <v>6.1741793095845008</v>
      </c>
      <c r="Y77" s="225">
        <f t="shared" ca="1" si="19"/>
        <v>6.3610354799157376</v>
      </c>
      <c r="Z77" s="225">
        <f t="shared" ca="1" si="19"/>
        <v>6.5613310567857921</v>
      </c>
      <c r="AA77" s="225">
        <f t="shared" ca="1" si="20"/>
        <v>6.7424979085413961</v>
      </c>
      <c r="AB77" s="225">
        <f t="shared" ca="1" si="20"/>
        <v>6.9486835912373843</v>
      </c>
      <c r="AC77" s="225">
        <f t="shared" ca="1" si="20"/>
        <v>7.1156936289710373</v>
      </c>
      <c r="AD77" s="225">
        <f t="shared" ca="1" si="20"/>
        <v>7.2705628660892989</v>
      </c>
      <c r="AE77" s="225">
        <f t="shared" ca="1" si="20"/>
        <v>7.4355000842056889</v>
      </c>
      <c r="AF77" s="225">
        <f t="shared" ca="1" si="20"/>
        <v>7.607544112438406</v>
      </c>
      <c r="AG77" s="225">
        <f t="shared" ca="1" si="20"/>
        <v>7.7828454286411048</v>
      </c>
      <c r="AH77" s="225">
        <f t="shared" ca="1" si="20"/>
        <v>7.9765060043109779</v>
      </c>
      <c r="AI77" s="225">
        <f t="shared" ca="1" si="20"/>
        <v>8.1778656242735384</v>
      </c>
      <c r="AJ77" s="225">
        <f t="shared" ca="1" si="20"/>
        <v>8.3795213613242776</v>
      </c>
      <c r="AK77" s="225">
        <f t="shared" ca="1" si="20"/>
        <v>8.5888761426677043</v>
      </c>
      <c r="AL77" s="225">
        <f t="shared" ca="1" si="20"/>
        <v>8.8130367784201411</v>
      </c>
      <c r="AM77" s="225">
        <f t="shared" ca="1" si="20"/>
        <v>9.8994903749534195</v>
      </c>
      <c r="AN77" s="225">
        <f t="shared" ca="1" si="20"/>
        <v>11.252449350848913</v>
      </c>
      <c r="AO77" s="225">
        <f t="shared" ca="1" si="20"/>
        <v>13.647444360050681</v>
      </c>
      <c r="AP77" s="225">
        <f t="shared" ca="1" si="20"/>
        <v>16.086856932479481</v>
      </c>
    </row>
    <row r="78" spans="1:48">
      <c r="A78" s="61" t="str">
        <f>'[5]TS BYDem'!A17</f>
        <v/>
      </c>
      <c r="B78" s="225" t="s">
        <v>288</v>
      </c>
      <c r="C78" s="225" t="s">
        <v>137</v>
      </c>
      <c r="D78" s="225" t="str">
        <f>'[5]TS BYDem'!D17</f>
        <v>IMIO</v>
      </c>
      <c r="E78" s="225" t="s">
        <v>137</v>
      </c>
      <c r="F78" s="225" t="s">
        <v>137</v>
      </c>
      <c r="G78" s="225" t="s">
        <v>137</v>
      </c>
      <c r="H78" s="225" t="s">
        <v>137</v>
      </c>
      <c r="I78" s="225">
        <v>0</v>
      </c>
      <c r="J78" s="225">
        <f>INDEX('[5]TS BYDem'!$J$10:$J$203,MATCH(D78,'[5]TS BYDem'!$D$10:$D$203,0))</f>
        <v>28.894976807848312</v>
      </c>
      <c r="K78" s="225">
        <f t="shared" ca="1" si="19"/>
        <v>29.657242511132058</v>
      </c>
      <c r="L78" s="225">
        <f t="shared" ca="1" si="19"/>
        <v>29.710515491565818</v>
      </c>
      <c r="M78" s="232">
        <f t="shared" si="21"/>
        <v>29.757392277177463</v>
      </c>
      <c r="N78" s="232">
        <f t="shared" si="22"/>
        <v>29.757392277177463</v>
      </c>
      <c r="O78" s="232">
        <f>INDEX('[5]TS BYDem'!$O$10:$O$203,MATCH(D78,'[5]TS BYDem'!$D$10:$D$203,0))</f>
        <v>29.757392277177463</v>
      </c>
      <c r="P78" s="225">
        <f t="shared" ca="1" si="19"/>
        <v>29.534213773891089</v>
      </c>
      <c r="Q78" s="225">
        <f t="shared" ca="1" si="19"/>
        <v>29.1181015502363</v>
      </c>
      <c r="R78" s="225">
        <f t="shared" ca="1" si="19"/>
        <v>26.834106735414075</v>
      </c>
      <c r="S78" s="225">
        <f t="shared" ca="1" si="19"/>
        <v>27.41804310608854</v>
      </c>
      <c r="T78" s="225">
        <f t="shared" ca="1" si="19"/>
        <v>27.916397048050325</v>
      </c>
      <c r="U78" s="225">
        <f t="shared" ca="1" si="19"/>
        <v>28.392761638419142</v>
      </c>
      <c r="V78" s="225">
        <f t="shared" ca="1" si="19"/>
        <v>28.855286799297634</v>
      </c>
      <c r="W78" s="225">
        <f t="shared" ca="1" si="19"/>
        <v>29.44304339039001</v>
      </c>
      <c r="X78" s="225">
        <f t="shared" ca="1" si="19"/>
        <v>30.294719870300952</v>
      </c>
      <c r="Y78" s="225">
        <f t="shared" ca="1" si="19"/>
        <v>31.211563235610178</v>
      </c>
      <c r="Z78" s="225">
        <f t="shared" ca="1" si="19"/>
        <v>32.194349463266235</v>
      </c>
      <c r="AA78" s="225">
        <f t="shared" ca="1" si="20"/>
        <v>33.083277164993405</v>
      </c>
      <c r="AB78" s="225">
        <f t="shared" ca="1" si="20"/>
        <v>34.094964254943193</v>
      </c>
      <c r="AC78" s="225">
        <f t="shared" ca="1" si="20"/>
        <v>34.914429005637309</v>
      </c>
      <c r="AD78" s="225">
        <f t="shared" ca="1" si="20"/>
        <v>35.67432273722067</v>
      </c>
      <c r="AE78" s="225">
        <f t="shared" ca="1" si="20"/>
        <v>36.48361682611538</v>
      </c>
      <c r="AF78" s="225">
        <f t="shared" ca="1" si="20"/>
        <v>37.327781755465168</v>
      </c>
      <c r="AG78" s="225">
        <f t="shared" ca="1" si="20"/>
        <v>38.187929153356855</v>
      </c>
      <c r="AH78" s="225">
        <f t="shared" ca="1" si="20"/>
        <v>39.138159555757468</v>
      </c>
      <c r="AI78" s="225">
        <f t="shared" ca="1" si="20"/>
        <v>40.12616670198441</v>
      </c>
      <c r="AJ78" s="225">
        <f t="shared" ca="1" si="20"/>
        <v>41.11562679989698</v>
      </c>
      <c r="AK78" s="225">
        <f t="shared" ca="1" si="20"/>
        <v>42.142863641635877</v>
      </c>
      <c r="AL78" s="225">
        <f t="shared" ca="1" si="20"/>
        <v>43.242748067656159</v>
      </c>
      <c r="AM78" s="225">
        <f t="shared" ca="1" si="20"/>
        <v>48.573627802224742</v>
      </c>
      <c r="AN78" s="225">
        <f t="shared" ca="1" si="20"/>
        <v>55.212164053858409</v>
      </c>
      <c r="AO78" s="225">
        <f t="shared" ca="1" si="20"/>
        <v>66.963637287216628</v>
      </c>
      <c r="AP78" s="225">
        <f t="shared" ca="1" si="20"/>
        <v>78.93305327341902</v>
      </c>
    </row>
    <row r="79" spans="1:48">
      <c r="A79" s="61" t="str">
        <f>'[5]TS BYDem'!A18</f>
        <v/>
      </c>
      <c r="B79" s="225" t="s">
        <v>288</v>
      </c>
      <c r="C79" s="225" t="s">
        <v>137</v>
      </c>
      <c r="D79" s="225" t="str">
        <f>'[5]TS BYDem'!D18</f>
        <v>IMIE</v>
      </c>
      <c r="E79" s="225" t="s">
        <v>137</v>
      </c>
      <c r="F79" s="225" t="s">
        <v>137</v>
      </c>
      <c r="G79" s="225" t="s">
        <v>137</v>
      </c>
      <c r="H79" s="225" t="s">
        <v>137</v>
      </c>
      <c r="I79" s="225">
        <v>0</v>
      </c>
      <c r="J79" s="225">
        <f>INDEX('[5]TS BYDem'!$J$10:$J$203,MATCH(D79,'[5]TS BYDem'!$D$10:$D$203,0))</f>
        <v>0.18682963530638833</v>
      </c>
      <c r="K79" s="225">
        <f t="shared" ca="1" si="19"/>
        <v>0.19175830592959464</v>
      </c>
      <c r="L79" s="225">
        <f t="shared" ca="1" si="19"/>
        <v>0.1921027592777427</v>
      </c>
      <c r="M79" s="232">
        <f t="shared" si="21"/>
        <v>0.19240585599999999</v>
      </c>
      <c r="N79" s="232">
        <f t="shared" si="22"/>
        <v>0.19240585599999999</v>
      </c>
      <c r="O79" s="232">
        <f>INDEX('[5]TS BYDem'!$O$10:$O$203,MATCH(D79,'[5]TS BYDem'!$D$10:$D$203,0))</f>
        <v>0.19240585599999999</v>
      </c>
      <c r="P79" s="225">
        <f t="shared" ca="1" si="19"/>
        <v>0.19096282461587744</v>
      </c>
      <c r="Q79" s="225">
        <f t="shared" ca="1" si="19"/>
        <v>0.18827231908237452</v>
      </c>
      <c r="R79" s="225">
        <f t="shared" ca="1" si="19"/>
        <v>0.17350442633988872</v>
      </c>
      <c r="S79" s="225">
        <f t="shared" ca="1" si="19"/>
        <v>0.17728005211390263</v>
      </c>
      <c r="T79" s="225">
        <f t="shared" ca="1" si="19"/>
        <v>0.1805023175564183</v>
      </c>
      <c r="U79" s="225">
        <f t="shared" ca="1" si="19"/>
        <v>0.18358240387326594</v>
      </c>
      <c r="V79" s="225">
        <f t="shared" ca="1" si="19"/>
        <v>0.18657300697018506</v>
      </c>
      <c r="W79" s="225">
        <f t="shared" ca="1" si="19"/>
        <v>0.19037333359072378</v>
      </c>
      <c r="X79" s="225">
        <f t="shared" ca="1" si="19"/>
        <v>0.19588011794285973</v>
      </c>
      <c r="Y79" s="225">
        <f t="shared" ca="1" si="19"/>
        <v>0.2018082594573142</v>
      </c>
      <c r="Z79" s="225">
        <f t="shared" ca="1" si="19"/>
        <v>0.20816277545911457</v>
      </c>
      <c r="AA79" s="225">
        <f t="shared" ca="1" si="20"/>
        <v>0.21391041939846955</v>
      </c>
      <c r="AB79" s="225">
        <f t="shared" ca="1" si="20"/>
        <v>0.22045180309005158</v>
      </c>
      <c r="AC79" s="225">
        <f t="shared" ca="1" si="20"/>
        <v>0.22575031229242054</v>
      </c>
      <c r="AD79" s="225">
        <f t="shared" ca="1" si="20"/>
        <v>0.23066364618043281</v>
      </c>
      <c r="AE79" s="225">
        <f t="shared" ca="1" si="20"/>
        <v>0.23589639374376523</v>
      </c>
      <c r="AF79" s="225">
        <f t="shared" ca="1" si="20"/>
        <v>0.24135460978379422</v>
      </c>
      <c r="AG79" s="225">
        <f t="shared" ca="1" si="20"/>
        <v>0.24691616554230914</v>
      </c>
      <c r="AH79" s="225">
        <f t="shared" ca="1" si="20"/>
        <v>0.2530601815322901</v>
      </c>
      <c r="AI79" s="225">
        <f t="shared" ca="1" si="20"/>
        <v>0.25944845503869235</v>
      </c>
      <c r="AJ79" s="225">
        <f t="shared" ca="1" si="20"/>
        <v>0.26584612306495697</v>
      </c>
      <c r="AK79" s="225">
        <f t="shared" ca="1" si="20"/>
        <v>0.27248804860764286</v>
      </c>
      <c r="AL79" s="225">
        <f t="shared" ca="1" si="20"/>
        <v>0.27959970014344654</v>
      </c>
      <c r="AM79" s="225">
        <f t="shared" ca="1" si="20"/>
        <v>0.31406819351843152</v>
      </c>
      <c r="AN79" s="225">
        <f t="shared" ca="1" si="20"/>
        <v>0.35699175476953726</v>
      </c>
      <c r="AO79" s="225">
        <f t="shared" ca="1" si="20"/>
        <v>0.43297463141627551</v>
      </c>
      <c r="AP79" s="225">
        <f t="shared" ca="1" si="20"/>
        <v>0.51036668604236712</v>
      </c>
    </row>
    <row r="80" spans="1:48">
      <c r="A80" s="61" t="str">
        <f>'[5]TS BYDem'!A19</f>
        <v>*</v>
      </c>
      <c r="B80" s="225" t="s">
        <v>288</v>
      </c>
      <c r="C80" s="225" t="s">
        <v>137</v>
      </c>
      <c r="D80" s="225">
        <f>'[5]TS BYDem'!D19</f>
        <v>0</v>
      </c>
      <c r="E80" s="225" t="s">
        <v>137</v>
      </c>
      <c r="F80" s="225" t="s">
        <v>137</v>
      </c>
      <c r="G80" s="225" t="s">
        <v>137</v>
      </c>
      <c r="H80" s="225" t="s">
        <v>137</v>
      </c>
      <c r="I80" s="225">
        <v>0</v>
      </c>
      <c r="J80" s="225" t="str">
        <f>INDEX('[5]TS BYDem'!$J$10:$J$203,MATCH(D80,'[5]TS BYDem'!$D$10:$D$203,0))</f>
        <v/>
      </c>
      <c r="K80" s="225" t="e">
        <f t="shared" ca="1" si="19"/>
        <v>#VALUE!</v>
      </c>
      <c r="L80" s="225" t="e">
        <f t="shared" ca="1" si="19"/>
        <v>#VALUE!</v>
      </c>
      <c r="M80" s="225" t="e">
        <f t="shared" ca="1" si="19"/>
        <v>#VALUE!</v>
      </c>
      <c r="N80" s="225" t="e">
        <f t="shared" ca="1" si="19"/>
        <v>#VALUE!</v>
      </c>
      <c r="O80" s="225" t="e">
        <f t="shared" ca="1" si="19"/>
        <v>#VALUE!</v>
      </c>
      <c r="P80" s="225" t="e">
        <f t="shared" ca="1" si="19"/>
        <v>#VALUE!</v>
      </c>
      <c r="Q80" s="225" t="e">
        <f t="shared" ca="1" si="19"/>
        <v>#VALUE!</v>
      </c>
      <c r="R80" s="225" t="e">
        <f t="shared" ca="1" si="19"/>
        <v>#VALUE!</v>
      </c>
      <c r="S80" s="225" t="e">
        <f t="shared" ca="1" si="19"/>
        <v>#VALUE!</v>
      </c>
      <c r="T80" s="225" t="e">
        <f t="shared" ca="1" si="19"/>
        <v>#VALUE!</v>
      </c>
      <c r="U80" s="225" t="e">
        <f t="shared" ca="1" si="19"/>
        <v>#VALUE!</v>
      </c>
      <c r="V80" s="225" t="e">
        <f t="shared" ca="1" si="19"/>
        <v>#VALUE!</v>
      </c>
      <c r="W80" s="225" t="e">
        <f t="shared" ca="1" si="19"/>
        <v>#VALUE!</v>
      </c>
      <c r="X80" s="225" t="e">
        <f t="shared" ca="1" si="19"/>
        <v>#VALUE!</v>
      </c>
      <c r="Y80" s="225" t="e">
        <f t="shared" ca="1" si="19"/>
        <v>#VALUE!</v>
      </c>
      <c r="Z80" s="225" t="e">
        <f t="shared" ca="1" si="19"/>
        <v>#VALUE!</v>
      </c>
      <c r="AA80" s="225" t="e">
        <f t="shared" ca="1" si="20"/>
        <v>#VALUE!</v>
      </c>
      <c r="AB80" s="225" t="e">
        <f t="shared" ca="1" si="20"/>
        <v>#VALUE!</v>
      </c>
      <c r="AC80" s="225" t="e">
        <f t="shared" ca="1" si="20"/>
        <v>#VALUE!</v>
      </c>
      <c r="AD80" s="225" t="e">
        <f t="shared" ca="1" si="20"/>
        <v>#VALUE!</v>
      </c>
      <c r="AE80" s="225" t="e">
        <f t="shared" ca="1" si="20"/>
        <v>#VALUE!</v>
      </c>
      <c r="AF80" s="225" t="e">
        <f t="shared" ca="1" si="20"/>
        <v>#VALUE!</v>
      </c>
      <c r="AG80" s="225" t="e">
        <f t="shared" ca="1" si="20"/>
        <v>#VALUE!</v>
      </c>
      <c r="AH80" s="225" t="e">
        <f t="shared" ca="1" si="20"/>
        <v>#VALUE!</v>
      </c>
      <c r="AI80" s="225" t="e">
        <f t="shared" ca="1" si="20"/>
        <v>#VALUE!</v>
      </c>
      <c r="AJ80" s="225" t="e">
        <f t="shared" ca="1" si="20"/>
        <v>#VALUE!</v>
      </c>
      <c r="AK80" s="225" t="e">
        <f t="shared" ca="1" si="20"/>
        <v>#VALUE!</v>
      </c>
      <c r="AL80" s="225" t="e">
        <f t="shared" ca="1" si="20"/>
        <v>#VALUE!</v>
      </c>
      <c r="AM80" s="225" t="e">
        <f t="shared" ca="1" si="20"/>
        <v>#VALUE!</v>
      </c>
      <c r="AN80" s="225" t="e">
        <f t="shared" ca="1" si="20"/>
        <v>#VALUE!</v>
      </c>
      <c r="AO80" s="225" t="e">
        <f t="shared" ca="1" si="20"/>
        <v>#VALUE!</v>
      </c>
      <c r="AP80" s="225" t="e">
        <f t="shared" ca="1" si="20"/>
        <v>#VALUE!</v>
      </c>
    </row>
    <row r="81" spans="1:42">
      <c r="A81" s="61" t="str">
        <f>'[5]TS BYDem'!A20</f>
        <v/>
      </c>
      <c r="B81" s="225" t="s">
        <v>288</v>
      </c>
      <c r="C81" s="225" t="s">
        <v>137</v>
      </c>
      <c r="D81" s="225" t="str">
        <f>'[5]TS BYDem'!D20</f>
        <v>IMIS</v>
      </c>
      <c r="E81" s="225" t="s">
        <v>137</v>
      </c>
      <c r="F81" s="225" t="s">
        <v>137</v>
      </c>
      <c r="G81" s="225" t="s">
        <v>137</v>
      </c>
      <c r="H81" s="225" t="s">
        <v>137</v>
      </c>
      <c r="I81" s="225">
        <v>0</v>
      </c>
      <c r="J81" s="225">
        <f>INDEX('[5]TS BYDem'!$J$10:$J$203,MATCH(D81,'[5]TS BYDem'!$D$10:$D$203,0))</f>
        <v>20.275122960000004</v>
      </c>
      <c r="K81" s="225">
        <f t="shared" ca="1" si="19"/>
        <v>20.809992081544721</v>
      </c>
      <c r="L81" s="225">
        <f t="shared" ca="1" si="19"/>
        <v>20.847372842772632</v>
      </c>
      <c r="M81" s="232">
        <f t="shared" ref="M81" si="23">O81</f>
        <v>0.90805719120000006</v>
      </c>
      <c r="N81" s="232">
        <f t="shared" si="22"/>
        <v>0.90805719120000006</v>
      </c>
      <c r="O81" s="232">
        <f>INDEX('[5]TS BYDem'!$O$10:$O$203,MATCH(D81,'[5]TS BYDem'!$D$10:$D$203,0))</f>
        <v>0.90805719120000006</v>
      </c>
      <c r="P81" s="225">
        <f t="shared" ca="1" si="19"/>
        <v>0.90124682142892731</v>
      </c>
      <c r="Q81" s="225">
        <f t="shared" ca="1" si="19"/>
        <v>0.8885490119731656</v>
      </c>
      <c r="R81" s="225">
        <f t="shared" ca="1" si="19"/>
        <v>0.81885211457891727</v>
      </c>
      <c r="S81" s="225">
        <f t="shared" ca="1" si="19"/>
        <v>0.83667113634181722</v>
      </c>
      <c r="T81" s="225">
        <f t="shared" ca="1" si="19"/>
        <v>0.8518785804802721</v>
      </c>
      <c r="U81" s="225">
        <f t="shared" ca="1" si="19"/>
        <v>0.86641501189496983</v>
      </c>
      <c r="V81" s="225">
        <f t="shared" ca="1" si="19"/>
        <v>0.88052912829786345</v>
      </c>
      <c r="W81" s="225">
        <f t="shared" ca="1" si="19"/>
        <v>0.89846472541757361</v>
      </c>
      <c r="X81" s="225">
        <f t="shared" ca="1" si="19"/>
        <v>0.924453929879961</v>
      </c>
      <c r="Y81" s="225">
        <f t="shared" ca="1" si="19"/>
        <v>0.95243172455088643</v>
      </c>
      <c r="Z81" s="225">
        <f t="shared" ca="1" si="19"/>
        <v>0.98242178863724305</v>
      </c>
      <c r="AA81" s="225">
        <f t="shared" ca="1" si="20"/>
        <v>1.0095477271096585</v>
      </c>
      <c r="AB81" s="225">
        <f t="shared" ca="1" si="20"/>
        <v>1.0404197110764015</v>
      </c>
      <c r="AC81" s="225">
        <f t="shared" ca="1" si="20"/>
        <v>1.0654259634009176</v>
      </c>
      <c r="AD81" s="225">
        <f t="shared" ca="1" si="20"/>
        <v>1.088614385325956</v>
      </c>
      <c r="AE81" s="225">
        <f t="shared" ca="1" si="20"/>
        <v>1.1133102763627563</v>
      </c>
      <c r="AF81" s="225">
        <f t="shared" ca="1" si="20"/>
        <v>1.1390702632431531</v>
      </c>
      <c r="AG81" s="225">
        <f t="shared" ca="1" si="20"/>
        <v>1.1653179607185316</v>
      </c>
      <c r="AH81" s="225">
        <f t="shared" ca="1" si="20"/>
        <v>1.1943145724565341</v>
      </c>
      <c r="AI81" s="225">
        <f t="shared" ca="1" si="20"/>
        <v>1.2244639546917662</v>
      </c>
      <c r="AJ81" s="225">
        <f t="shared" ca="1" si="20"/>
        <v>1.2546576742538147</v>
      </c>
      <c r="AK81" s="225">
        <f t="shared" ca="1" si="20"/>
        <v>1.2860041643130928</v>
      </c>
      <c r="AL81" s="225">
        <f t="shared" ca="1" si="20"/>
        <v>1.3195675207131967</v>
      </c>
      <c r="AM81" s="225">
        <f t="shared" ca="1" si="20"/>
        <v>1.4822411728029994</v>
      </c>
      <c r="AN81" s="225">
        <f t="shared" ca="1" si="20"/>
        <v>1.6848184190276685</v>
      </c>
      <c r="AO81" s="225">
        <f t="shared" ca="1" si="20"/>
        <v>2.0434187183196673</v>
      </c>
      <c r="AP81" s="225">
        <f t="shared" ca="1" si="20"/>
        <v>2.4086696166341435</v>
      </c>
    </row>
    <row r="82" spans="1:42">
      <c r="A82" s="61" t="str">
        <f>'[5]TS BYDem'!A21</f>
        <v>*</v>
      </c>
      <c r="B82" s="225" t="s">
        <v>288</v>
      </c>
      <c r="C82" s="225" t="s">
        <v>137</v>
      </c>
      <c r="D82" s="225" t="str">
        <f>'[5]TS BYDem'!D21</f>
        <v>IMIS</v>
      </c>
      <c r="E82" s="225" t="s">
        <v>137</v>
      </c>
      <c r="F82" s="225" t="s">
        <v>137</v>
      </c>
      <c r="G82" s="225" t="s">
        <v>137</v>
      </c>
      <c r="H82" s="225" t="s">
        <v>137</v>
      </c>
      <c r="I82" s="225">
        <v>0</v>
      </c>
      <c r="J82" s="225">
        <f>INDEX('[5]TS BYDem'!$J$10:$J$203,MATCH(D82,'[5]TS BYDem'!$D$10:$D$203,0))</f>
        <v>20.275122960000004</v>
      </c>
      <c r="K82" s="225">
        <f t="shared" ca="1" si="19"/>
        <v>20.809992081544721</v>
      </c>
      <c r="L82" s="225">
        <f t="shared" ca="1" si="19"/>
        <v>20.847372842772632</v>
      </c>
      <c r="M82" s="225">
        <f t="shared" ca="1" si="19"/>
        <v>21.377183659261441</v>
      </c>
      <c r="N82" s="225">
        <f t="shared" ca="1" si="19"/>
        <v>21.051515231302332</v>
      </c>
      <c r="O82" s="225">
        <f t="shared" ca="1" si="19"/>
        <v>21.595161411752844</v>
      </c>
      <c r="P82" s="225">
        <f t="shared" ca="1" si="19"/>
        <v>21.433199108160839</v>
      </c>
      <c r="Q82" s="225">
        <f t="shared" ca="1" si="19"/>
        <v>21.131223365410005</v>
      </c>
      <c r="R82" s="225">
        <f t="shared" ca="1" si="19"/>
        <v>19.47371130150778</v>
      </c>
      <c r="S82" s="225">
        <f t="shared" ca="1" si="19"/>
        <v>19.897478278850741</v>
      </c>
      <c r="T82" s="225">
        <f t="shared" ca="1" si="19"/>
        <v>20.259137449674725</v>
      </c>
      <c r="U82" s="225">
        <f t="shared" ca="1" si="19"/>
        <v>20.604838784120886</v>
      </c>
      <c r="V82" s="225">
        <f t="shared" ca="1" si="19"/>
        <v>20.94049674141537</v>
      </c>
      <c r="W82" s="225">
        <f t="shared" ca="1" si="19"/>
        <v>21.367036081194687</v>
      </c>
      <c r="X82" s="225">
        <f t="shared" ca="1" si="19"/>
        <v>21.985104051766697</v>
      </c>
      <c r="Y82" s="225">
        <f t="shared" ca="1" si="19"/>
        <v>22.650464116880087</v>
      </c>
      <c r="Z82" s="225">
        <f t="shared" ca="1" si="19"/>
        <v>23.363679408791189</v>
      </c>
      <c r="AA82" s="225">
        <f t="shared" ca="1" si="20"/>
        <v>24.00878086873664</v>
      </c>
      <c r="AB82" s="225">
        <f t="shared" ca="1" si="20"/>
        <v>24.74296973186522</v>
      </c>
      <c r="AC82" s="225">
        <f t="shared" ca="1" si="20"/>
        <v>25.337661410411716</v>
      </c>
      <c r="AD82" s="225">
        <f t="shared" ca="1" si="20"/>
        <v>25.88912195629791</v>
      </c>
      <c r="AE82" s="225">
        <f t="shared" ca="1" si="20"/>
        <v>26.476432709756057</v>
      </c>
      <c r="AF82" s="225">
        <f t="shared" ca="1" si="20"/>
        <v>27.089049492088527</v>
      </c>
      <c r="AG82" s="225">
        <f t="shared" ca="1" si="20"/>
        <v>27.713264870988393</v>
      </c>
      <c r="AH82" s="225">
        <f t="shared" ca="1" si="20"/>
        <v>28.402854157813582</v>
      </c>
      <c r="AI82" s="225">
        <f t="shared" ca="1" si="20"/>
        <v>29.119858309252617</v>
      </c>
      <c r="AJ82" s="225">
        <f t="shared" ca="1" si="20"/>
        <v>29.837916878561412</v>
      </c>
      <c r="AK82" s="225">
        <f t="shared" ca="1" si="20"/>
        <v>30.58339031248406</v>
      </c>
      <c r="AL82" s="225">
        <f t="shared" ca="1" si="20"/>
        <v>31.381584639894864</v>
      </c>
      <c r="AM82" s="225">
        <f t="shared" ca="1" si="20"/>
        <v>35.250243804056346</v>
      </c>
      <c r="AN82" s="225">
        <f t="shared" ca="1" si="20"/>
        <v>40.067879051004795</v>
      </c>
      <c r="AO82" s="225">
        <f t="shared" ca="1" si="20"/>
        <v>48.596010781650342</v>
      </c>
      <c r="AP82" s="225">
        <f t="shared" ca="1" si="20"/>
        <v>57.282305192760383</v>
      </c>
    </row>
    <row r="83" spans="1:42">
      <c r="A83" s="61" t="str">
        <f>'[5]TS BYDem'!A22</f>
        <v>*</v>
      </c>
      <c r="B83" s="225" t="s">
        <v>288</v>
      </c>
      <c r="C83" s="225" t="s">
        <v>137</v>
      </c>
      <c r="D83" s="225" t="str">
        <f>'[5]TS BYDem'!D22</f>
        <v>IMIS</v>
      </c>
      <c r="E83" s="225" t="s">
        <v>137</v>
      </c>
      <c r="F83" s="225" t="s">
        <v>137</v>
      </c>
      <c r="G83" s="225" t="s">
        <v>137</v>
      </c>
      <c r="H83" s="225" t="s">
        <v>137</v>
      </c>
      <c r="I83" s="225">
        <v>0</v>
      </c>
      <c r="J83" s="225">
        <f>INDEX('[5]TS BYDem'!$J$10:$J$203,MATCH(D83,'[5]TS BYDem'!$D$10:$D$203,0))</f>
        <v>20.275122960000004</v>
      </c>
      <c r="K83" s="225">
        <f t="shared" ca="1" si="19"/>
        <v>20.809992081544721</v>
      </c>
      <c r="L83" s="225">
        <f t="shared" ca="1" si="19"/>
        <v>20.847372842772632</v>
      </c>
      <c r="M83" s="225">
        <f t="shared" ca="1" si="19"/>
        <v>21.377183659261441</v>
      </c>
      <c r="N83" s="225">
        <f t="shared" ca="1" si="19"/>
        <v>21.051515231302332</v>
      </c>
      <c r="O83" s="225">
        <f t="shared" ca="1" si="19"/>
        <v>21.595161411752844</v>
      </c>
      <c r="P83" s="225">
        <f t="shared" ca="1" si="19"/>
        <v>21.433199108160839</v>
      </c>
      <c r="Q83" s="225">
        <f t="shared" ca="1" si="19"/>
        <v>21.131223365410005</v>
      </c>
      <c r="R83" s="225">
        <f t="shared" ca="1" si="19"/>
        <v>19.47371130150778</v>
      </c>
      <c r="S83" s="225">
        <f t="shared" ca="1" si="19"/>
        <v>19.897478278850741</v>
      </c>
      <c r="T83" s="225">
        <f t="shared" ca="1" si="19"/>
        <v>20.259137449674725</v>
      </c>
      <c r="U83" s="225">
        <f t="shared" ca="1" si="19"/>
        <v>20.604838784120886</v>
      </c>
      <c r="V83" s="225">
        <f t="shared" ca="1" si="19"/>
        <v>20.94049674141537</v>
      </c>
      <c r="W83" s="225">
        <f t="shared" ca="1" si="19"/>
        <v>21.367036081194687</v>
      </c>
      <c r="X83" s="225">
        <f t="shared" ca="1" si="19"/>
        <v>21.985104051766697</v>
      </c>
      <c r="Y83" s="225">
        <f t="shared" ca="1" si="19"/>
        <v>22.650464116880087</v>
      </c>
      <c r="Z83" s="225">
        <f t="shared" ca="1" si="19"/>
        <v>23.363679408791189</v>
      </c>
      <c r="AA83" s="225">
        <f t="shared" ca="1" si="20"/>
        <v>24.00878086873664</v>
      </c>
      <c r="AB83" s="225">
        <f t="shared" ca="1" si="20"/>
        <v>24.74296973186522</v>
      </c>
      <c r="AC83" s="225">
        <f t="shared" ca="1" si="20"/>
        <v>25.337661410411716</v>
      </c>
      <c r="AD83" s="225">
        <f t="shared" ca="1" si="20"/>
        <v>25.88912195629791</v>
      </c>
      <c r="AE83" s="225">
        <f t="shared" ca="1" si="20"/>
        <v>26.476432709756057</v>
      </c>
      <c r="AF83" s="225">
        <f t="shared" ca="1" si="20"/>
        <v>27.089049492088527</v>
      </c>
      <c r="AG83" s="225">
        <f t="shared" ca="1" si="20"/>
        <v>27.713264870988393</v>
      </c>
      <c r="AH83" s="225">
        <f t="shared" ca="1" si="20"/>
        <v>28.402854157813582</v>
      </c>
      <c r="AI83" s="225">
        <f t="shared" ca="1" si="20"/>
        <v>29.119858309252617</v>
      </c>
      <c r="AJ83" s="225">
        <f t="shared" ca="1" si="20"/>
        <v>29.837916878561412</v>
      </c>
      <c r="AK83" s="225">
        <f t="shared" ca="1" si="20"/>
        <v>30.58339031248406</v>
      </c>
      <c r="AL83" s="225">
        <f t="shared" ca="1" si="20"/>
        <v>31.381584639894864</v>
      </c>
      <c r="AM83" s="225">
        <f t="shared" ca="1" si="20"/>
        <v>35.250243804056346</v>
      </c>
      <c r="AN83" s="225">
        <f t="shared" ca="1" si="20"/>
        <v>40.067879051004795</v>
      </c>
      <c r="AO83" s="225">
        <f t="shared" ca="1" si="20"/>
        <v>48.596010781650342</v>
      </c>
      <c r="AP83" s="225">
        <f t="shared" ca="1" si="20"/>
        <v>57.282305192760383</v>
      </c>
    </row>
    <row r="84" spans="1:42">
      <c r="A84" s="61" t="str">
        <f>'[5]TS BYDem'!A23</f>
        <v>*</v>
      </c>
      <c r="B84" s="225" t="s">
        <v>288</v>
      </c>
      <c r="C84" s="225" t="s">
        <v>137</v>
      </c>
      <c r="D84" s="225" t="str">
        <f>'[5]TS BYDem'!D23</f>
        <v>IMIS</v>
      </c>
      <c r="E84" s="225" t="s">
        <v>137</v>
      </c>
      <c r="F84" s="225" t="s">
        <v>137</v>
      </c>
      <c r="G84" s="225" t="s">
        <v>137</v>
      </c>
      <c r="H84" s="225" t="s">
        <v>137</v>
      </c>
      <c r="I84" s="225">
        <v>0</v>
      </c>
      <c r="J84" s="225">
        <f>INDEX('[5]TS BYDem'!$J$10:$J$203,MATCH(D84,'[5]TS BYDem'!$D$10:$D$203,0))</f>
        <v>20.275122960000004</v>
      </c>
      <c r="K84" s="225">
        <f t="shared" ca="1" si="19"/>
        <v>20.809992081544721</v>
      </c>
      <c r="L84" s="225">
        <f t="shared" ca="1" si="19"/>
        <v>20.847372842772632</v>
      </c>
      <c r="M84" s="225">
        <f t="shared" ca="1" si="19"/>
        <v>21.377183659261441</v>
      </c>
      <c r="N84" s="225">
        <f t="shared" ca="1" si="19"/>
        <v>21.051515231302332</v>
      </c>
      <c r="O84" s="225">
        <f t="shared" ca="1" si="19"/>
        <v>21.595161411752844</v>
      </c>
      <c r="P84" s="225">
        <f t="shared" ca="1" si="19"/>
        <v>21.433199108160839</v>
      </c>
      <c r="Q84" s="225">
        <f t="shared" ca="1" si="19"/>
        <v>21.131223365410005</v>
      </c>
      <c r="R84" s="225">
        <f t="shared" ca="1" si="19"/>
        <v>19.47371130150778</v>
      </c>
      <c r="S84" s="225">
        <f t="shared" ca="1" si="19"/>
        <v>19.897478278850741</v>
      </c>
      <c r="T84" s="225">
        <f t="shared" ca="1" si="19"/>
        <v>20.259137449674725</v>
      </c>
      <c r="U84" s="225">
        <f t="shared" ca="1" si="19"/>
        <v>20.604838784120886</v>
      </c>
      <c r="V84" s="225">
        <f t="shared" ca="1" si="19"/>
        <v>20.94049674141537</v>
      </c>
      <c r="W84" s="225">
        <f t="shared" ca="1" si="19"/>
        <v>21.367036081194687</v>
      </c>
      <c r="X84" s="225">
        <f t="shared" ca="1" si="19"/>
        <v>21.985104051766697</v>
      </c>
      <c r="Y84" s="225">
        <f t="shared" ca="1" si="19"/>
        <v>22.650464116880087</v>
      </c>
      <c r="Z84" s="225">
        <f t="shared" ca="1" si="19"/>
        <v>23.363679408791189</v>
      </c>
      <c r="AA84" s="225">
        <f t="shared" ca="1" si="20"/>
        <v>24.00878086873664</v>
      </c>
      <c r="AB84" s="225">
        <f t="shared" ca="1" si="20"/>
        <v>24.74296973186522</v>
      </c>
      <c r="AC84" s="225">
        <f t="shared" ca="1" si="20"/>
        <v>25.337661410411716</v>
      </c>
      <c r="AD84" s="225">
        <f t="shared" ca="1" si="20"/>
        <v>25.88912195629791</v>
      </c>
      <c r="AE84" s="225">
        <f t="shared" ca="1" si="20"/>
        <v>26.476432709756057</v>
      </c>
      <c r="AF84" s="225">
        <f t="shared" ca="1" si="20"/>
        <v>27.089049492088527</v>
      </c>
      <c r="AG84" s="225">
        <f t="shared" ca="1" si="20"/>
        <v>27.713264870988393</v>
      </c>
      <c r="AH84" s="225">
        <f t="shared" ca="1" si="20"/>
        <v>28.402854157813582</v>
      </c>
      <c r="AI84" s="225">
        <f t="shared" ca="1" si="20"/>
        <v>29.119858309252617</v>
      </c>
      <c r="AJ84" s="225">
        <f t="shared" ca="1" si="20"/>
        <v>29.837916878561412</v>
      </c>
      <c r="AK84" s="225">
        <f t="shared" ca="1" si="20"/>
        <v>30.58339031248406</v>
      </c>
      <c r="AL84" s="225">
        <f t="shared" ca="1" si="20"/>
        <v>31.381584639894864</v>
      </c>
      <c r="AM84" s="225">
        <f t="shared" ca="1" si="20"/>
        <v>35.250243804056346</v>
      </c>
      <c r="AN84" s="225">
        <f t="shared" ca="1" si="20"/>
        <v>40.067879051004795</v>
      </c>
      <c r="AO84" s="225">
        <f t="shared" ca="1" si="20"/>
        <v>48.596010781650342</v>
      </c>
      <c r="AP84" s="225">
        <f t="shared" ca="1" si="20"/>
        <v>57.282305192760383</v>
      </c>
    </row>
    <row r="85" spans="1:42">
      <c r="A85" s="61" t="str">
        <f>'[5]TS BYDem'!A24</f>
        <v>*</v>
      </c>
      <c r="B85" s="225" t="s">
        <v>288</v>
      </c>
      <c r="C85" s="225" t="s">
        <v>137</v>
      </c>
      <c r="D85" s="225" t="str">
        <f>'[5]TS BYDem'!D24</f>
        <v>IMIS</v>
      </c>
      <c r="E85" s="225" t="s">
        <v>137</v>
      </c>
      <c r="F85" s="225" t="s">
        <v>137</v>
      </c>
      <c r="G85" s="225" t="s">
        <v>137</v>
      </c>
      <c r="H85" s="225" t="s">
        <v>137</v>
      </c>
      <c r="I85" s="225">
        <v>0</v>
      </c>
      <c r="J85" s="225">
        <f>INDEX('[5]TS BYDem'!$J$10:$J$203,MATCH(D85,'[5]TS BYDem'!$D$10:$D$203,0))</f>
        <v>20.275122960000004</v>
      </c>
      <c r="K85" s="225">
        <f t="shared" ca="1" si="19"/>
        <v>20.809992081544721</v>
      </c>
      <c r="L85" s="225">
        <f t="shared" ca="1" si="19"/>
        <v>20.847372842772632</v>
      </c>
      <c r="M85" s="225">
        <f t="shared" ca="1" si="19"/>
        <v>21.377183659261441</v>
      </c>
      <c r="N85" s="225">
        <f t="shared" ca="1" si="19"/>
        <v>21.051515231302332</v>
      </c>
      <c r="O85" s="225">
        <f t="shared" ca="1" si="19"/>
        <v>21.595161411752844</v>
      </c>
      <c r="P85" s="225">
        <f t="shared" ca="1" si="19"/>
        <v>21.433199108160839</v>
      </c>
      <c r="Q85" s="225">
        <f t="shared" ca="1" si="19"/>
        <v>21.131223365410005</v>
      </c>
      <c r="R85" s="225">
        <f t="shared" ca="1" si="19"/>
        <v>19.47371130150778</v>
      </c>
      <c r="S85" s="225">
        <f t="shared" ca="1" si="19"/>
        <v>19.897478278850741</v>
      </c>
      <c r="T85" s="225">
        <f t="shared" ca="1" si="19"/>
        <v>20.259137449674725</v>
      </c>
      <c r="U85" s="225">
        <f t="shared" ca="1" si="19"/>
        <v>20.604838784120886</v>
      </c>
      <c r="V85" s="225">
        <f t="shared" ca="1" si="19"/>
        <v>20.94049674141537</v>
      </c>
      <c r="W85" s="225">
        <f t="shared" ca="1" si="19"/>
        <v>21.367036081194687</v>
      </c>
      <c r="X85" s="225">
        <f t="shared" ca="1" si="19"/>
        <v>21.985104051766697</v>
      </c>
      <c r="Y85" s="225">
        <f t="shared" ca="1" si="19"/>
        <v>22.650464116880087</v>
      </c>
      <c r="Z85" s="225">
        <f t="shared" ca="1" si="19"/>
        <v>23.363679408791189</v>
      </c>
      <c r="AA85" s="225">
        <f t="shared" ca="1" si="20"/>
        <v>24.00878086873664</v>
      </c>
      <c r="AB85" s="225">
        <f t="shared" ca="1" si="20"/>
        <v>24.74296973186522</v>
      </c>
      <c r="AC85" s="225">
        <f t="shared" ca="1" si="20"/>
        <v>25.337661410411716</v>
      </c>
      <c r="AD85" s="225">
        <f t="shared" ca="1" si="20"/>
        <v>25.88912195629791</v>
      </c>
      <c r="AE85" s="225">
        <f t="shared" ca="1" si="20"/>
        <v>26.476432709756057</v>
      </c>
      <c r="AF85" s="225">
        <f t="shared" ca="1" si="20"/>
        <v>27.089049492088527</v>
      </c>
      <c r="AG85" s="225">
        <f t="shared" ca="1" si="20"/>
        <v>27.713264870988393</v>
      </c>
      <c r="AH85" s="225">
        <f t="shared" ca="1" si="20"/>
        <v>28.402854157813582</v>
      </c>
      <c r="AI85" s="225">
        <f t="shared" ca="1" si="20"/>
        <v>29.119858309252617</v>
      </c>
      <c r="AJ85" s="225">
        <f t="shared" ca="1" si="20"/>
        <v>29.837916878561412</v>
      </c>
      <c r="AK85" s="225">
        <f t="shared" ca="1" si="20"/>
        <v>30.58339031248406</v>
      </c>
      <c r="AL85" s="225">
        <f t="shared" ca="1" si="20"/>
        <v>31.381584639894864</v>
      </c>
      <c r="AM85" s="225">
        <f t="shared" ca="1" si="20"/>
        <v>35.250243804056346</v>
      </c>
      <c r="AN85" s="225">
        <f t="shared" ca="1" si="20"/>
        <v>40.067879051004795</v>
      </c>
      <c r="AO85" s="225">
        <f t="shared" ca="1" si="20"/>
        <v>48.596010781650342</v>
      </c>
      <c r="AP85" s="225">
        <f t="shared" ca="1" si="20"/>
        <v>57.282305192760383</v>
      </c>
    </row>
    <row r="86" spans="1:42">
      <c r="A86" s="61" t="str">
        <f>'[5]TS BYDem'!A25</f>
        <v>*</v>
      </c>
      <c r="B86" s="225" t="s">
        <v>288</v>
      </c>
      <c r="C86" s="225" t="s">
        <v>137</v>
      </c>
      <c r="D86" s="225" t="str">
        <f>'[5]TS BYDem'!D25</f>
        <v>IMIS</v>
      </c>
      <c r="E86" s="225" t="s">
        <v>137</v>
      </c>
      <c r="F86" s="225" t="s">
        <v>137</v>
      </c>
      <c r="G86" s="225" t="s">
        <v>137</v>
      </c>
      <c r="H86" s="225" t="s">
        <v>137</v>
      </c>
      <c r="I86" s="225">
        <v>0</v>
      </c>
      <c r="J86" s="225">
        <f>INDEX('[5]TS BYDem'!$J$10:$J$203,MATCH(D86,'[5]TS BYDem'!$D$10:$D$203,0))</f>
        <v>20.275122960000004</v>
      </c>
      <c r="K86" s="225">
        <f t="shared" ca="1" si="19"/>
        <v>20.809992081544721</v>
      </c>
      <c r="L86" s="225">
        <f t="shared" ca="1" si="19"/>
        <v>20.847372842772632</v>
      </c>
      <c r="M86" s="225">
        <f t="shared" ca="1" si="19"/>
        <v>21.377183659261441</v>
      </c>
      <c r="N86" s="225">
        <f t="shared" ca="1" si="19"/>
        <v>21.051515231302332</v>
      </c>
      <c r="O86" s="225">
        <f t="shared" ca="1" si="19"/>
        <v>21.595161411752844</v>
      </c>
      <c r="P86" s="225">
        <f t="shared" ca="1" si="19"/>
        <v>21.433199108160839</v>
      </c>
      <c r="Q86" s="225">
        <f t="shared" ca="1" si="19"/>
        <v>21.131223365410005</v>
      </c>
      <c r="R86" s="225">
        <f t="shared" ca="1" si="19"/>
        <v>19.47371130150778</v>
      </c>
      <c r="S86" s="225">
        <f t="shared" ca="1" si="19"/>
        <v>19.897478278850741</v>
      </c>
      <c r="T86" s="225">
        <f t="shared" ca="1" si="19"/>
        <v>20.259137449674725</v>
      </c>
      <c r="U86" s="225">
        <f t="shared" ca="1" si="19"/>
        <v>20.604838784120886</v>
      </c>
      <c r="V86" s="225">
        <f t="shared" ca="1" si="19"/>
        <v>20.94049674141537</v>
      </c>
      <c r="W86" s="225">
        <f t="shared" ca="1" si="19"/>
        <v>21.367036081194687</v>
      </c>
      <c r="X86" s="225">
        <f t="shared" ca="1" si="19"/>
        <v>21.985104051766697</v>
      </c>
      <c r="Y86" s="225">
        <f t="shared" ca="1" si="19"/>
        <v>22.650464116880087</v>
      </c>
      <c r="Z86" s="225">
        <f t="shared" ca="1" si="19"/>
        <v>23.363679408791189</v>
      </c>
      <c r="AA86" s="225">
        <f t="shared" ca="1" si="20"/>
        <v>24.00878086873664</v>
      </c>
      <c r="AB86" s="225">
        <f t="shared" ca="1" si="20"/>
        <v>24.74296973186522</v>
      </c>
      <c r="AC86" s="225">
        <f t="shared" ca="1" si="20"/>
        <v>25.337661410411716</v>
      </c>
      <c r="AD86" s="225">
        <f t="shared" ca="1" si="20"/>
        <v>25.88912195629791</v>
      </c>
      <c r="AE86" s="225">
        <f t="shared" ca="1" si="20"/>
        <v>26.476432709756057</v>
      </c>
      <c r="AF86" s="225">
        <f t="shared" ca="1" si="20"/>
        <v>27.089049492088527</v>
      </c>
      <c r="AG86" s="225">
        <f t="shared" ca="1" si="20"/>
        <v>27.713264870988393</v>
      </c>
      <c r="AH86" s="225">
        <f t="shared" ca="1" si="20"/>
        <v>28.402854157813582</v>
      </c>
      <c r="AI86" s="225">
        <f t="shared" ca="1" si="20"/>
        <v>29.119858309252617</v>
      </c>
      <c r="AJ86" s="225">
        <f t="shared" ca="1" si="20"/>
        <v>29.837916878561412</v>
      </c>
      <c r="AK86" s="225">
        <f t="shared" ca="1" si="20"/>
        <v>30.58339031248406</v>
      </c>
      <c r="AL86" s="225">
        <f t="shared" ca="1" si="20"/>
        <v>31.381584639894864</v>
      </c>
      <c r="AM86" s="225">
        <f t="shared" ca="1" si="20"/>
        <v>35.250243804056346</v>
      </c>
      <c r="AN86" s="225">
        <f t="shared" ca="1" si="20"/>
        <v>40.067879051004795</v>
      </c>
      <c r="AO86" s="225">
        <f t="shared" ca="1" si="20"/>
        <v>48.596010781650342</v>
      </c>
      <c r="AP86" s="225">
        <f t="shared" ref="AP86:AP90" ca="1" si="24">AP$70/AO$70*AO86</f>
        <v>57.282305192760383</v>
      </c>
    </row>
    <row r="87" spans="1:42">
      <c r="A87" s="61" t="str">
        <f>'[5]TS BYDem'!A26</f>
        <v>*</v>
      </c>
      <c r="B87" s="225" t="s">
        <v>288</v>
      </c>
      <c r="C87" s="225" t="s">
        <v>137</v>
      </c>
      <c r="D87" s="225">
        <f>'[5]TS BYDem'!D26</f>
        <v>0</v>
      </c>
      <c r="E87" s="225" t="s">
        <v>137</v>
      </c>
      <c r="F87" s="225" t="s">
        <v>137</v>
      </c>
      <c r="G87" s="225" t="s">
        <v>137</v>
      </c>
      <c r="H87" s="225" t="s">
        <v>137</v>
      </c>
      <c r="I87" s="225">
        <v>0</v>
      </c>
      <c r="J87" s="225" t="str">
        <f>INDEX('[5]TS BYDem'!$J$10:$J$203,MATCH(D87,'[5]TS BYDem'!$D$10:$D$203,0))</f>
        <v/>
      </c>
      <c r="K87" s="225" t="e">
        <f t="shared" ref="K87:Z90" ca="1" si="25">K$70/J$70*J87</f>
        <v>#VALUE!</v>
      </c>
      <c r="L87" s="225" t="e">
        <f t="shared" ca="1" si="25"/>
        <v>#VALUE!</v>
      </c>
      <c r="M87" s="225" t="e">
        <f t="shared" ca="1" si="25"/>
        <v>#VALUE!</v>
      </c>
      <c r="N87" s="225" t="e">
        <f t="shared" ca="1" si="25"/>
        <v>#VALUE!</v>
      </c>
      <c r="O87" s="225" t="e">
        <f t="shared" ca="1" si="25"/>
        <v>#VALUE!</v>
      </c>
      <c r="P87" s="225" t="e">
        <f t="shared" ca="1" si="25"/>
        <v>#VALUE!</v>
      </c>
      <c r="Q87" s="225" t="e">
        <f t="shared" ca="1" si="25"/>
        <v>#VALUE!</v>
      </c>
      <c r="R87" s="225" t="e">
        <f t="shared" ca="1" si="25"/>
        <v>#VALUE!</v>
      </c>
      <c r="S87" s="225" t="e">
        <f t="shared" ca="1" si="25"/>
        <v>#VALUE!</v>
      </c>
      <c r="T87" s="225" t="e">
        <f t="shared" ca="1" si="25"/>
        <v>#VALUE!</v>
      </c>
      <c r="U87" s="225" t="e">
        <f t="shared" ca="1" si="25"/>
        <v>#VALUE!</v>
      </c>
      <c r="V87" s="225" t="e">
        <f t="shared" ca="1" si="25"/>
        <v>#VALUE!</v>
      </c>
      <c r="W87" s="225" t="e">
        <f t="shared" ca="1" si="25"/>
        <v>#VALUE!</v>
      </c>
      <c r="X87" s="225" t="e">
        <f t="shared" ca="1" si="25"/>
        <v>#VALUE!</v>
      </c>
      <c r="Y87" s="225" t="e">
        <f t="shared" ca="1" si="25"/>
        <v>#VALUE!</v>
      </c>
      <c r="Z87" s="225" t="e">
        <f t="shared" ca="1" si="25"/>
        <v>#VALUE!</v>
      </c>
      <c r="AA87" s="225" t="e">
        <f t="shared" ref="AA87:AO90" ca="1" si="26">AA$70/Z$70*Z87</f>
        <v>#VALUE!</v>
      </c>
      <c r="AB87" s="225" t="e">
        <f t="shared" ca="1" si="26"/>
        <v>#VALUE!</v>
      </c>
      <c r="AC87" s="225" t="e">
        <f t="shared" ca="1" si="26"/>
        <v>#VALUE!</v>
      </c>
      <c r="AD87" s="225" t="e">
        <f t="shared" ca="1" si="26"/>
        <v>#VALUE!</v>
      </c>
      <c r="AE87" s="225" t="e">
        <f t="shared" ca="1" si="26"/>
        <v>#VALUE!</v>
      </c>
      <c r="AF87" s="225" t="e">
        <f t="shared" ca="1" si="26"/>
        <v>#VALUE!</v>
      </c>
      <c r="AG87" s="225" t="e">
        <f t="shared" ca="1" si="26"/>
        <v>#VALUE!</v>
      </c>
      <c r="AH87" s="225" t="e">
        <f t="shared" ca="1" si="26"/>
        <v>#VALUE!</v>
      </c>
      <c r="AI87" s="225" t="e">
        <f t="shared" ca="1" si="26"/>
        <v>#VALUE!</v>
      </c>
      <c r="AJ87" s="225" t="e">
        <f t="shared" ca="1" si="26"/>
        <v>#VALUE!</v>
      </c>
      <c r="AK87" s="225" t="e">
        <f t="shared" ca="1" si="26"/>
        <v>#VALUE!</v>
      </c>
      <c r="AL87" s="225" t="e">
        <f t="shared" ca="1" si="26"/>
        <v>#VALUE!</v>
      </c>
      <c r="AM87" s="225" t="e">
        <f t="shared" ca="1" si="26"/>
        <v>#VALUE!</v>
      </c>
      <c r="AN87" s="225" t="e">
        <f t="shared" ca="1" si="26"/>
        <v>#VALUE!</v>
      </c>
      <c r="AO87" s="225" t="e">
        <f t="shared" ca="1" si="26"/>
        <v>#VALUE!</v>
      </c>
      <c r="AP87" s="225" t="e">
        <f t="shared" ca="1" si="24"/>
        <v>#VALUE!</v>
      </c>
    </row>
    <row r="88" spans="1:42">
      <c r="A88" s="61" t="str">
        <f>'[5]TS BYDem'!A27</f>
        <v/>
      </c>
      <c r="B88" s="225" t="s">
        <v>288</v>
      </c>
      <c r="C88" s="225" t="s">
        <v>137</v>
      </c>
      <c r="D88" s="225" t="str">
        <f>'[5]TS BYDem'!D27</f>
        <v>IMIR</v>
      </c>
      <c r="E88" s="225" t="s">
        <v>137</v>
      </c>
      <c r="F88" s="225" t="s">
        <v>137</v>
      </c>
      <c r="G88" s="225" t="s">
        <v>137</v>
      </c>
      <c r="H88" s="225" t="s">
        <v>137</v>
      </c>
      <c r="I88" s="225">
        <v>0</v>
      </c>
      <c r="J88" s="225">
        <f>INDEX('[5]TS BYDem'!$J$10:$J$203,MATCH(D88,'[5]TS BYDem'!$D$10:$D$203,0))</f>
        <v>51.488523217763458</v>
      </c>
      <c r="K88" s="225">
        <f t="shared" ca="1" si="25"/>
        <v>52.846819354238278</v>
      </c>
      <c r="L88" s="225">
        <f t="shared" ca="1" si="25"/>
        <v>52.941747517987423</v>
      </c>
      <c r="M88" s="232">
        <f t="shared" ref="M88" si="27">O88</f>
        <v>46.045999999999999</v>
      </c>
      <c r="N88" s="232">
        <f t="shared" ref="N88" si="28">O88</f>
        <v>46.045999999999999</v>
      </c>
      <c r="O88" s="232">
        <f>INDEX('[5]TS BYDem'!$O$10:$O$203,MATCH(D88,'[5]TS BYDem'!$D$10:$D$203,0))</f>
        <v>46.045999999999999</v>
      </c>
      <c r="P88" s="225">
        <f t="shared" ca="1" si="25"/>
        <v>45.700658000049089</v>
      </c>
      <c r="Q88" s="225">
        <f t="shared" ca="1" si="25"/>
        <v>45.056774178780799</v>
      </c>
      <c r="R88" s="225">
        <f t="shared" ca="1" si="25"/>
        <v>41.52256579574437</v>
      </c>
      <c r="S88" s="225">
        <f t="shared" ca="1" si="25"/>
        <v>42.426137381373472</v>
      </c>
      <c r="T88" s="225">
        <f t="shared" ca="1" si="25"/>
        <v>43.197280410232615</v>
      </c>
      <c r="U88" s="225">
        <f t="shared" ca="1" si="25"/>
        <v>43.934397551540236</v>
      </c>
      <c r="V88" s="225">
        <f t="shared" ca="1" si="25"/>
        <v>44.650099833495403</v>
      </c>
      <c r="W88" s="225">
        <f t="shared" ca="1" si="25"/>
        <v>45.559582752608456</v>
      </c>
      <c r="X88" s="225">
        <f t="shared" ca="1" si="25"/>
        <v>46.877450085494893</v>
      </c>
      <c r="Y88" s="225">
        <f t="shared" ca="1" si="25"/>
        <v>48.296155367389069</v>
      </c>
      <c r="Z88" s="225">
        <f t="shared" ca="1" si="25"/>
        <v>49.81689932966691</v>
      </c>
      <c r="AA88" s="225">
        <f t="shared" ca="1" si="26"/>
        <v>51.192408466101611</v>
      </c>
      <c r="AB88" s="225">
        <f t="shared" ca="1" si="26"/>
        <v>52.757873050831222</v>
      </c>
      <c r="AC88" s="225">
        <f t="shared" ca="1" si="26"/>
        <v>54.025896591301219</v>
      </c>
      <c r="AD88" s="225">
        <f t="shared" ca="1" si="26"/>
        <v>55.201741115531362</v>
      </c>
      <c r="AE88" s="225">
        <f t="shared" ca="1" si="26"/>
        <v>56.454026775179912</v>
      </c>
      <c r="AF88" s="225">
        <f t="shared" ca="1" si="26"/>
        <v>57.760270883359112</v>
      </c>
      <c r="AG88" s="225">
        <f t="shared" ca="1" si="26"/>
        <v>59.091245947114849</v>
      </c>
      <c r="AH88" s="225">
        <f t="shared" ca="1" si="26"/>
        <v>60.561613669574733</v>
      </c>
      <c r="AI88" s="225">
        <f t="shared" ca="1" si="26"/>
        <v>62.090436377942815</v>
      </c>
      <c r="AJ88" s="225">
        <f t="shared" ca="1" si="26"/>
        <v>63.621507354999665</v>
      </c>
      <c r="AK88" s="225">
        <f t="shared" ca="1" si="26"/>
        <v>65.21103331796472</v>
      </c>
      <c r="AL88" s="225">
        <f t="shared" ca="1" si="26"/>
        <v>66.912972715368596</v>
      </c>
      <c r="AM88" s="225">
        <f t="shared" ca="1" si="26"/>
        <v>75.16187053448985</v>
      </c>
      <c r="AN88" s="225">
        <f t="shared" ca="1" si="26"/>
        <v>85.434210173510053</v>
      </c>
      <c r="AO88" s="225">
        <f t="shared" ca="1" si="26"/>
        <v>103.61820732833526</v>
      </c>
      <c r="AP88" s="225">
        <f t="shared" ca="1" si="24"/>
        <v>122.13944478647694</v>
      </c>
    </row>
    <row r="89" spans="1:42">
      <c r="A89" s="61" t="str">
        <f>'[5]TS BYDem'!A28</f>
        <v>*</v>
      </c>
      <c r="B89" s="225" t="s">
        <v>288</v>
      </c>
      <c r="C89" s="225" t="s">
        <v>137</v>
      </c>
      <c r="D89" s="225" t="str">
        <f>'[5]TS BYDem'!D28</f>
        <v>Useful Energy Service</v>
      </c>
      <c r="E89" s="225" t="s">
        <v>137</v>
      </c>
      <c r="F89" s="225" t="s">
        <v>137</v>
      </c>
      <c r="G89" s="225" t="s">
        <v>137</v>
      </c>
      <c r="H89" s="225" t="s">
        <v>137</v>
      </c>
      <c r="I89" s="225">
        <v>0</v>
      </c>
      <c r="J89" s="225" t="str">
        <f>INDEX('[5]TS BYDem'!$J$10:$J$203,MATCH(D89,'[5]TS BYDem'!$D$10:$D$203,0))</f>
        <v/>
      </c>
      <c r="K89" s="225" t="e">
        <f t="shared" ca="1" si="25"/>
        <v>#VALUE!</v>
      </c>
      <c r="L89" s="225" t="e">
        <f t="shared" ca="1" si="25"/>
        <v>#VALUE!</v>
      </c>
      <c r="M89" s="225" t="e">
        <f t="shared" ca="1" si="25"/>
        <v>#VALUE!</v>
      </c>
      <c r="N89" s="225" t="e">
        <f t="shared" ca="1" si="25"/>
        <v>#VALUE!</v>
      </c>
      <c r="O89" s="225" t="e">
        <f t="shared" ca="1" si="25"/>
        <v>#VALUE!</v>
      </c>
      <c r="P89" s="225" t="e">
        <f t="shared" ca="1" si="25"/>
        <v>#VALUE!</v>
      </c>
      <c r="Q89" s="225" t="e">
        <f t="shared" ca="1" si="25"/>
        <v>#VALUE!</v>
      </c>
      <c r="R89" s="225" t="e">
        <f t="shared" ca="1" si="25"/>
        <v>#VALUE!</v>
      </c>
      <c r="S89" s="225" t="e">
        <f t="shared" ca="1" si="25"/>
        <v>#VALUE!</v>
      </c>
      <c r="T89" s="225" t="e">
        <f t="shared" ca="1" si="25"/>
        <v>#VALUE!</v>
      </c>
      <c r="U89" s="225" t="e">
        <f t="shared" ca="1" si="25"/>
        <v>#VALUE!</v>
      </c>
      <c r="V89" s="225" t="e">
        <f t="shared" ca="1" si="25"/>
        <v>#VALUE!</v>
      </c>
      <c r="W89" s="225" t="e">
        <f t="shared" ca="1" si="25"/>
        <v>#VALUE!</v>
      </c>
      <c r="X89" s="225" t="e">
        <f t="shared" ca="1" si="25"/>
        <v>#VALUE!</v>
      </c>
      <c r="Y89" s="225" t="e">
        <f t="shared" ca="1" si="25"/>
        <v>#VALUE!</v>
      </c>
      <c r="Z89" s="225" t="e">
        <f t="shared" ca="1" si="25"/>
        <v>#VALUE!</v>
      </c>
      <c r="AA89" s="225" t="e">
        <f t="shared" ca="1" si="26"/>
        <v>#VALUE!</v>
      </c>
      <c r="AB89" s="225" t="e">
        <f t="shared" ca="1" si="26"/>
        <v>#VALUE!</v>
      </c>
      <c r="AC89" s="225" t="e">
        <f t="shared" ca="1" si="26"/>
        <v>#VALUE!</v>
      </c>
      <c r="AD89" s="225" t="e">
        <f t="shared" ca="1" si="26"/>
        <v>#VALUE!</v>
      </c>
      <c r="AE89" s="225" t="e">
        <f t="shared" ca="1" si="26"/>
        <v>#VALUE!</v>
      </c>
      <c r="AF89" s="225" t="e">
        <f t="shared" ca="1" si="26"/>
        <v>#VALUE!</v>
      </c>
      <c r="AG89" s="225" t="e">
        <f t="shared" ca="1" si="26"/>
        <v>#VALUE!</v>
      </c>
      <c r="AH89" s="225" t="e">
        <f t="shared" ca="1" si="26"/>
        <v>#VALUE!</v>
      </c>
      <c r="AI89" s="225" t="e">
        <f t="shared" ca="1" si="26"/>
        <v>#VALUE!</v>
      </c>
      <c r="AJ89" s="225" t="e">
        <f t="shared" ca="1" si="26"/>
        <v>#VALUE!</v>
      </c>
      <c r="AK89" s="225" t="e">
        <f t="shared" ca="1" si="26"/>
        <v>#VALUE!</v>
      </c>
      <c r="AL89" s="225" t="e">
        <f t="shared" ca="1" si="26"/>
        <v>#VALUE!</v>
      </c>
      <c r="AM89" s="225" t="e">
        <f t="shared" ca="1" si="26"/>
        <v>#VALUE!</v>
      </c>
      <c r="AN89" s="225" t="e">
        <f t="shared" ca="1" si="26"/>
        <v>#VALUE!</v>
      </c>
      <c r="AO89" s="225" t="e">
        <f t="shared" ca="1" si="26"/>
        <v>#VALUE!</v>
      </c>
      <c r="AP89" s="225" t="e">
        <f t="shared" ca="1" si="24"/>
        <v>#VALUE!</v>
      </c>
    </row>
    <row r="90" spans="1:42">
      <c r="A90" s="61" t="str">
        <f>'[5]TS BYDem'!A29</f>
        <v>*</v>
      </c>
      <c r="B90" s="225" t="s">
        <v>288</v>
      </c>
      <c r="C90" s="225" t="s">
        <v>137</v>
      </c>
      <c r="D90" s="225">
        <f>'[5]TS BYDem'!D29</f>
        <v>0</v>
      </c>
      <c r="E90" s="225" t="s">
        <v>137</v>
      </c>
      <c r="F90" s="225" t="s">
        <v>137</v>
      </c>
      <c r="G90" s="225" t="s">
        <v>137</v>
      </c>
      <c r="H90" s="225" t="s">
        <v>137</v>
      </c>
      <c r="I90" s="225">
        <v>0</v>
      </c>
      <c r="J90" s="225" t="str">
        <f>INDEX('[5]TS BYDem'!$J$10:$J$203,MATCH(D90,'[5]TS BYDem'!$D$10:$D$203,0))</f>
        <v/>
      </c>
      <c r="K90" s="225" t="e">
        <f t="shared" ca="1" si="25"/>
        <v>#VALUE!</v>
      </c>
      <c r="L90" s="225" t="e">
        <f t="shared" ca="1" si="25"/>
        <v>#VALUE!</v>
      </c>
      <c r="M90" s="225" t="e">
        <f t="shared" ca="1" si="25"/>
        <v>#VALUE!</v>
      </c>
      <c r="N90" s="225" t="e">
        <f t="shared" ca="1" si="25"/>
        <v>#VALUE!</v>
      </c>
      <c r="O90" s="225" t="e">
        <f t="shared" ca="1" si="25"/>
        <v>#VALUE!</v>
      </c>
      <c r="P90" s="225" t="e">
        <f t="shared" ca="1" si="25"/>
        <v>#VALUE!</v>
      </c>
      <c r="Q90" s="225" t="e">
        <f t="shared" ca="1" si="25"/>
        <v>#VALUE!</v>
      </c>
      <c r="R90" s="225" t="e">
        <f t="shared" ca="1" si="25"/>
        <v>#VALUE!</v>
      </c>
      <c r="S90" s="225" t="e">
        <f t="shared" ca="1" si="25"/>
        <v>#VALUE!</v>
      </c>
      <c r="T90" s="225" t="e">
        <f t="shared" ca="1" si="25"/>
        <v>#VALUE!</v>
      </c>
      <c r="U90" s="225" t="e">
        <f t="shared" ca="1" si="25"/>
        <v>#VALUE!</v>
      </c>
      <c r="V90" s="225" t="e">
        <f t="shared" ca="1" si="25"/>
        <v>#VALUE!</v>
      </c>
      <c r="W90" s="225" t="e">
        <f t="shared" ca="1" si="25"/>
        <v>#VALUE!</v>
      </c>
      <c r="X90" s="225" t="e">
        <f t="shared" ca="1" si="25"/>
        <v>#VALUE!</v>
      </c>
      <c r="Y90" s="225" t="e">
        <f t="shared" ca="1" si="25"/>
        <v>#VALUE!</v>
      </c>
      <c r="Z90" s="225" t="e">
        <f t="shared" ca="1" si="25"/>
        <v>#VALUE!</v>
      </c>
      <c r="AA90" s="225" t="e">
        <f t="shared" ca="1" si="26"/>
        <v>#VALUE!</v>
      </c>
      <c r="AB90" s="225" t="e">
        <f t="shared" ca="1" si="26"/>
        <v>#VALUE!</v>
      </c>
      <c r="AC90" s="225" t="e">
        <f t="shared" ca="1" si="26"/>
        <v>#VALUE!</v>
      </c>
      <c r="AD90" s="225" t="e">
        <f t="shared" ca="1" si="26"/>
        <v>#VALUE!</v>
      </c>
      <c r="AE90" s="225" t="e">
        <f t="shared" ca="1" si="26"/>
        <v>#VALUE!</v>
      </c>
      <c r="AF90" s="225" t="e">
        <f t="shared" ca="1" si="26"/>
        <v>#VALUE!</v>
      </c>
      <c r="AG90" s="225" t="e">
        <f t="shared" ca="1" si="26"/>
        <v>#VALUE!</v>
      </c>
      <c r="AH90" s="225" t="e">
        <f t="shared" ca="1" si="26"/>
        <v>#VALUE!</v>
      </c>
      <c r="AI90" s="225" t="e">
        <f t="shared" ca="1" si="26"/>
        <v>#VALUE!</v>
      </c>
      <c r="AJ90" s="225" t="e">
        <f t="shared" ca="1" si="26"/>
        <v>#VALUE!</v>
      </c>
      <c r="AK90" s="225" t="e">
        <f t="shared" ca="1" si="26"/>
        <v>#VALUE!</v>
      </c>
      <c r="AL90" s="225" t="e">
        <f t="shared" ca="1" si="26"/>
        <v>#VALUE!</v>
      </c>
      <c r="AM90" s="225" t="e">
        <f t="shared" ca="1" si="26"/>
        <v>#VALUE!</v>
      </c>
      <c r="AN90" s="225" t="e">
        <f t="shared" ca="1" si="26"/>
        <v>#VALUE!</v>
      </c>
      <c r="AO90" s="225" t="e">
        <f t="shared" ca="1" si="26"/>
        <v>#VALUE!</v>
      </c>
      <c r="AP90" s="225" t="e">
        <f t="shared" ca="1" si="24"/>
        <v>#VALUE!</v>
      </c>
    </row>
    <row r="91" spans="1:42" s="5" customFormat="1">
      <c r="A91" s="61" t="str">
        <f>'[5]TS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61" t="str">
        <f>'[5]TS BYDem'!A31</f>
        <v>*</v>
      </c>
      <c r="B92" s="225" t="s">
        <v>288</v>
      </c>
      <c r="C92" s="225" t="s">
        <v>137</v>
      </c>
      <c r="D92" s="225" t="str">
        <f>'[5]TS BYDem'!D31</f>
        <v>IFAK</v>
      </c>
      <c r="E92" s="225" t="s">
        <v>137</v>
      </c>
      <c r="F92" s="225" t="s">
        <v>137</v>
      </c>
      <c r="G92" s="225" t="s">
        <v>137</v>
      </c>
      <c r="H92" s="225" t="s">
        <v>137</v>
      </c>
      <c r="I92" s="225">
        <v>0</v>
      </c>
      <c r="J92" s="225" t="str">
        <f>INDEX('[5]TS BYDem'!$J$10:$J$203,MATCH(D92,'[5]TS BYDem'!$D$10:$D$203,0))</f>
        <v/>
      </c>
      <c r="K92" s="225" t="e">
        <f ca="1">K$91/J$91*J92</f>
        <v>#VALUE!</v>
      </c>
      <c r="L92" s="225" t="e">
        <f t="shared" ref="L92:AP107" ca="1" si="30">L$91/K$91*K92</f>
        <v>#VALUE!</v>
      </c>
      <c r="M92" s="225" t="e">
        <f t="shared" ca="1" si="30"/>
        <v>#VALUE!</v>
      </c>
      <c r="N92" s="225" t="e">
        <f t="shared" ca="1" si="30"/>
        <v>#VALUE!</v>
      </c>
      <c r="O92" s="225" t="e">
        <f t="shared" ca="1" si="30"/>
        <v>#VALUE!</v>
      </c>
      <c r="P92" s="225" t="e">
        <f t="shared" ca="1" si="30"/>
        <v>#VALUE!</v>
      </c>
      <c r="Q92" s="225" t="e">
        <f t="shared" ca="1" si="30"/>
        <v>#VALUE!</v>
      </c>
      <c r="R92" s="225" t="e">
        <f t="shared" ca="1" si="30"/>
        <v>#VALUE!</v>
      </c>
      <c r="S92" s="225" t="e">
        <f t="shared" ca="1" si="30"/>
        <v>#VALUE!</v>
      </c>
      <c r="T92" s="225" t="e">
        <f t="shared" ca="1" si="30"/>
        <v>#VALUE!</v>
      </c>
      <c r="U92" s="225" t="e">
        <f t="shared" ca="1" si="30"/>
        <v>#VALUE!</v>
      </c>
      <c r="V92" s="225" t="e">
        <f t="shared" ca="1" si="30"/>
        <v>#VALUE!</v>
      </c>
      <c r="W92" s="225" t="e">
        <f t="shared" ca="1" si="30"/>
        <v>#VALUE!</v>
      </c>
      <c r="X92" s="225" t="e">
        <f t="shared" ca="1" si="30"/>
        <v>#VALUE!</v>
      </c>
      <c r="Y92" s="225" t="e">
        <f t="shared" ca="1" si="30"/>
        <v>#VALUE!</v>
      </c>
      <c r="Z92" s="225" t="e">
        <f t="shared" ca="1" si="30"/>
        <v>#VALUE!</v>
      </c>
      <c r="AA92" s="225" t="e">
        <f t="shared" ca="1" si="30"/>
        <v>#VALUE!</v>
      </c>
      <c r="AB92" s="225" t="e">
        <f t="shared" ca="1" si="30"/>
        <v>#VALUE!</v>
      </c>
      <c r="AC92" s="225" t="e">
        <f t="shared" ca="1" si="30"/>
        <v>#VALUE!</v>
      </c>
      <c r="AD92" s="225" t="e">
        <f t="shared" ca="1" si="30"/>
        <v>#VALUE!</v>
      </c>
      <c r="AE92" s="225" t="e">
        <f t="shared" ca="1" si="30"/>
        <v>#VALUE!</v>
      </c>
      <c r="AF92" s="225" t="e">
        <f t="shared" ca="1" si="30"/>
        <v>#VALUE!</v>
      </c>
      <c r="AG92" s="225" t="e">
        <f t="shared" ca="1" si="30"/>
        <v>#VALUE!</v>
      </c>
      <c r="AH92" s="225" t="e">
        <f t="shared" ca="1" si="30"/>
        <v>#VALUE!</v>
      </c>
      <c r="AI92" s="225" t="e">
        <f t="shared" ca="1" si="30"/>
        <v>#VALUE!</v>
      </c>
      <c r="AJ92" s="225" t="e">
        <f t="shared" ca="1" si="30"/>
        <v>#VALUE!</v>
      </c>
      <c r="AK92" s="225" t="e">
        <f t="shared" ca="1" si="30"/>
        <v>#VALUE!</v>
      </c>
      <c r="AL92" s="225" t="e">
        <f t="shared" ca="1" si="30"/>
        <v>#VALUE!</v>
      </c>
      <c r="AM92" s="225" t="e">
        <f t="shared" ca="1" si="30"/>
        <v>#VALUE!</v>
      </c>
      <c r="AN92" s="225" t="e">
        <f t="shared" ca="1" si="30"/>
        <v>#VALUE!</v>
      </c>
      <c r="AO92" s="225" t="e">
        <f t="shared" ca="1" si="30"/>
        <v>#VALUE!</v>
      </c>
      <c r="AP92" s="225" t="e">
        <f t="shared" ca="1" si="30"/>
        <v>#VALUE!</v>
      </c>
    </row>
    <row r="93" spans="1:42">
      <c r="A93" s="61" t="str">
        <f>'[5]TS BYDem'!A32</f>
        <v>*</v>
      </c>
      <c r="B93" s="225" t="s">
        <v>288</v>
      </c>
      <c r="C93" s="225" t="s">
        <v>137</v>
      </c>
      <c r="D93" s="225" t="str">
        <f>'[5]TS BYDem'!D32</f>
        <v>IFAA</v>
      </c>
      <c r="E93" s="225" t="s">
        <v>137</v>
      </c>
      <c r="F93" s="225" t="s">
        <v>137</v>
      </c>
      <c r="G93" s="225" t="s">
        <v>137</v>
      </c>
      <c r="H93" s="225" t="s">
        <v>137</v>
      </c>
      <c r="I93" s="225">
        <v>0</v>
      </c>
      <c r="J93" s="225" t="str">
        <f>INDEX('[5]TS BYDem'!$J$10:$J$203,MATCH(D93,'[5]TS BYDem'!$D$10:$D$203,0))</f>
        <v/>
      </c>
      <c r="K93" s="225" t="e">
        <f t="shared" ref="K93:AH103" ca="1" si="31">K$91/J$91*J93</f>
        <v>#VALUE!</v>
      </c>
      <c r="L93" s="225" t="e">
        <f t="shared" ca="1" si="31"/>
        <v>#VALUE!</v>
      </c>
      <c r="M93" s="225" t="e">
        <f t="shared" ca="1" si="31"/>
        <v>#VALUE!</v>
      </c>
      <c r="N93" s="225" t="e">
        <f t="shared" ca="1" si="31"/>
        <v>#VALUE!</v>
      </c>
      <c r="O93" s="225" t="e">
        <f t="shared" ca="1" si="31"/>
        <v>#VALUE!</v>
      </c>
      <c r="P93" s="225" t="e">
        <f t="shared" ca="1" si="31"/>
        <v>#VALUE!</v>
      </c>
      <c r="Q93" s="225" t="e">
        <f t="shared" ca="1" si="31"/>
        <v>#VALUE!</v>
      </c>
      <c r="R93" s="225" t="e">
        <f t="shared" ca="1" si="31"/>
        <v>#VALUE!</v>
      </c>
      <c r="S93" s="225" t="e">
        <f t="shared" ca="1" si="31"/>
        <v>#VALUE!</v>
      </c>
      <c r="T93" s="225" t="e">
        <f t="shared" ca="1" si="31"/>
        <v>#VALUE!</v>
      </c>
      <c r="U93" s="225" t="e">
        <f t="shared" ca="1" si="31"/>
        <v>#VALUE!</v>
      </c>
      <c r="V93" s="225" t="e">
        <f t="shared" ca="1" si="31"/>
        <v>#VALUE!</v>
      </c>
      <c r="W93" s="225" t="e">
        <f t="shared" ca="1" si="31"/>
        <v>#VALUE!</v>
      </c>
      <c r="X93" s="225" t="e">
        <f t="shared" ca="1" si="31"/>
        <v>#VALUE!</v>
      </c>
      <c r="Y93" s="225" t="e">
        <f t="shared" ca="1" si="31"/>
        <v>#VALUE!</v>
      </c>
      <c r="Z93" s="225" t="e">
        <f t="shared" ca="1" si="31"/>
        <v>#VALUE!</v>
      </c>
      <c r="AA93" s="225" t="e">
        <f t="shared" ca="1" si="31"/>
        <v>#VALUE!</v>
      </c>
      <c r="AB93" s="225" t="e">
        <f t="shared" ca="1" si="31"/>
        <v>#VALUE!</v>
      </c>
      <c r="AC93" s="225" t="e">
        <f t="shared" ca="1" si="31"/>
        <v>#VALUE!</v>
      </c>
      <c r="AD93" s="225" t="e">
        <f t="shared" ca="1" si="31"/>
        <v>#VALUE!</v>
      </c>
      <c r="AE93" s="225" t="e">
        <f t="shared" ca="1" si="31"/>
        <v>#VALUE!</v>
      </c>
      <c r="AF93" s="225" t="e">
        <f t="shared" ca="1" si="31"/>
        <v>#VALUE!</v>
      </c>
      <c r="AG93" s="225" t="e">
        <f t="shared" ca="1" si="31"/>
        <v>#VALUE!</v>
      </c>
      <c r="AH93" s="225" t="e">
        <f t="shared" ca="1" si="31"/>
        <v>#VALUE!</v>
      </c>
      <c r="AI93" s="225" t="e">
        <f t="shared" ca="1" si="30"/>
        <v>#VALUE!</v>
      </c>
      <c r="AJ93" s="225" t="e">
        <f t="shared" ca="1" si="30"/>
        <v>#VALUE!</v>
      </c>
      <c r="AK93" s="225" t="e">
        <f t="shared" ca="1" si="30"/>
        <v>#VALUE!</v>
      </c>
      <c r="AL93" s="225" t="e">
        <f t="shared" ca="1" si="30"/>
        <v>#VALUE!</v>
      </c>
      <c r="AM93" s="225" t="e">
        <f t="shared" ca="1" si="30"/>
        <v>#VALUE!</v>
      </c>
      <c r="AN93" s="225" t="e">
        <f t="shared" ca="1" si="30"/>
        <v>#VALUE!</v>
      </c>
      <c r="AO93" s="225" t="e">
        <f t="shared" ca="1" si="30"/>
        <v>#VALUE!</v>
      </c>
      <c r="AP93" s="225" t="e">
        <f t="shared" ca="1" si="30"/>
        <v>#VALUE!</v>
      </c>
    </row>
    <row r="94" spans="1:42">
      <c r="A94" s="61" t="str">
        <f>'[5]TS BYDem'!A33</f>
        <v>*</v>
      </c>
      <c r="B94" s="225" t="s">
        <v>288</v>
      </c>
      <c r="C94" s="225" t="s">
        <v>137</v>
      </c>
      <c r="D94" s="225" t="str">
        <f>'[5]TS BYDem'!D33</f>
        <v>IFAL</v>
      </c>
      <c r="E94" s="225" t="s">
        <v>137</v>
      </c>
      <c r="F94" s="225" t="s">
        <v>137</v>
      </c>
      <c r="G94" s="225" t="s">
        <v>137</v>
      </c>
      <c r="H94" s="225" t="s">
        <v>137</v>
      </c>
      <c r="I94" s="225">
        <v>0</v>
      </c>
      <c r="J94" s="225" t="str">
        <f>INDEX('[5]TS BYDem'!$J$10:$J$203,MATCH(D94,'[5]TS BYDem'!$D$10:$D$203,0))</f>
        <v/>
      </c>
      <c r="K94" s="225" t="e">
        <f t="shared" ca="1" si="31"/>
        <v>#VALUE!</v>
      </c>
      <c r="L94" s="225" t="e">
        <f t="shared" ca="1" si="31"/>
        <v>#VALUE!</v>
      </c>
      <c r="M94" s="225" t="e">
        <f t="shared" ca="1" si="31"/>
        <v>#VALUE!</v>
      </c>
      <c r="N94" s="225" t="e">
        <f t="shared" ca="1" si="31"/>
        <v>#VALUE!</v>
      </c>
      <c r="O94" s="225" t="e">
        <f t="shared" ca="1" si="31"/>
        <v>#VALUE!</v>
      </c>
      <c r="P94" s="225" t="e">
        <f t="shared" ca="1" si="31"/>
        <v>#VALUE!</v>
      </c>
      <c r="Q94" s="225" t="e">
        <f t="shared" ca="1" si="31"/>
        <v>#VALUE!</v>
      </c>
      <c r="R94" s="225" t="e">
        <f t="shared" ca="1" si="31"/>
        <v>#VALUE!</v>
      </c>
      <c r="S94" s="225" t="e">
        <f t="shared" ca="1" si="31"/>
        <v>#VALUE!</v>
      </c>
      <c r="T94" s="225" t="e">
        <f t="shared" ca="1" si="31"/>
        <v>#VALUE!</v>
      </c>
      <c r="U94" s="225" t="e">
        <f t="shared" ca="1" si="31"/>
        <v>#VALUE!</v>
      </c>
      <c r="V94" s="225" t="e">
        <f t="shared" ca="1" si="31"/>
        <v>#VALUE!</v>
      </c>
      <c r="W94" s="225" t="e">
        <f t="shared" ca="1" si="31"/>
        <v>#VALUE!</v>
      </c>
      <c r="X94" s="225" t="e">
        <f t="shared" ca="1" si="31"/>
        <v>#VALUE!</v>
      </c>
      <c r="Y94" s="225" t="e">
        <f t="shared" ca="1" si="31"/>
        <v>#VALUE!</v>
      </c>
      <c r="Z94" s="225" t="e">
        <f t="shared" ca="1" si="31"/>
        <v>#VALUE!</v>
      </c>
      <c r="AA94" s="225" t="e">
        <f t="shared" ca="1" si="31"/>
        <v>#VALUE!</v>
      </c>
      <c r="AB94" s="225" t="e">
        <f t="shared" ca="1" si="31"/>
        <v>#VALUE!</v>
      </c>
      <c r="AC94" s="225" t="e">
        <f t="shared" ca="1" si="31"/>
        <v>#VALUE!</v>
      </c>
      <c r="AD94" s="225" t="e">
        <f t="shared" ca="1" si="31"/>
        <v>#VALUE!</v>
      </c>
      <c r="AE94" s="225" t="e">
        <f t="shared" ca="1" si="31"/>
        <v>#VALUE!</v>
      </c>
      <c r="AF94" s="225" t="e">
        <f t="shared" ca="1" si="31"/>
        <v>#VALUE!</v>
      </c>
      <c r="AG94" s="225" t="e">
        <f t="shared" ca="1" si="31"/>
        <v>#VALUE!</v>
      </c>
      <c r="AH94" s="225" t="e">
        <f t="shared" ca="1" si="31"/>
        <v>#VALUE!</v>
      </c>
      <c r="AI94" s="225" t="e">
        <f t="shared" ca="1" si="30"/>
        <v>#VALUE!</v>
      </c>
      <c r="AJ94" s="225" t="e">
        <f t="shared" ca="1" si="30"/>
        <v>#VALUE!</v>
      </c>
      <c r="AK94" s="225" t="e">
        <f t="shared" ca="1" si="30"/>
        <v>#VALUE!</v>
      </c>
      <c r="AL94" s="225" t="e">
        <f t="shared" ca="1" si="30"/>
        <v>#VALUE!</v>
      </c>
      <c r="AM94" s="225" t="e">
        <f t="shared" ca="1" si="30"/>
        <v>#VALUE!</v>
      </c>
      <c r="AN94" s="225" t="e">
        <f t="shared" ca="1" si="30"/>
        <v>#VALUE!</v>
      </c>
      <c r="AO94" s="225" t="e">
        <f t="shared" ca="1" si="30"/>
        <v>#VALUE!</v>
      </c>
      <c r="AP94" s="225" t="e">
        <f t="shared" ca="1" si="30"/>
        <v>#VALUE!</v>
      </c>
    </row>
    <row r="95" spans="1:42">
      <c r="A95" s="61" t="str">
        <f>'[5]TS BYDem'!A34</f>
        <v>*</v>
      </c>
      <c r="B95" s="225" t="s">
        <v>288</v>
      </c>
      <c r="C95" s="225" t="s">
        <v>137</v>
      </c>
      <c r="D95" s="225" t="str">
        <f>'[5]TS BYDem'!D34</f>
        <v>IFAC</v>
      </c>
      <c r="E95" s="225" t="s">
        <v>137</v>
      </c>
      <c r="F95" s="225" t="s">
        <v>137</v>
      </c>
      <c r="G95" s="225" t="s">
        <v>137</v>
      </c>
      <c r="H95" s="225" t="s">
        <v>137</v>
      </c>
      <c r="I95" s="225">
        <v>0</v>
      </c>
      <c r="J95" s="225" t="str">
        <f>INDEX('[5]TS BYDem'!$J$10:$J$203,MATCH(D95,'[5]TS BYDem'!$D$10:$D$203,0))</f>
        <v/>
      </c>
      <c r="K95" s="225" t="e">
        <f t="shared" ca="1" si="31"/>
        <v>#VALUE!</v>
      </c>
      <c r="L95" s="225" t="e">
        <f t="shared" ca="1" si="31"/>
        <v>#VALUE!</v>
      </c>
      <c r="M95" s="225" t="e">
        <f t="shared" ca="1" si="31"/>
        <v>#VALUE!</v>
      </c>
      <c r="N95" s="225" t="e">
        <f t="shared" ca="1" si="31"/>
        <v>#VALUE!</v>
      </c>
      <c r="O95" s="225" t="e">
        <f t="shared" ca="1" si="31"/>
        <v>#VALUE!</v>
      </c>
      <c r="P95" s="225" t="e">
        <f t="shared" ca="1" si="31"/>
        <v>#VALUE!</v>
      </c>
      <c r="Q95" s="225" t="e">
        <f t="shared" ca="1" si="31"/>
        <v>#VALUE!</v>
      </c>
      <c r="R95" s="225" t="e">
        <f t="shared" ca="1" si="31"/>
        <v>#VALUE!</v>
      </c>
      <c r="S95" s="225" t="e">
        <f t="shared" ca="1" si="31"/>
        <v>#VALUE!</v>
      </c>
      <c r="T95" s="225" t="e">
        <f t="shared" ca="1" si="31"/>
        <v>#VALUE!</v>
      </c>
      <c r="U95" s="225" t="e">
        <f t="shared" ca="1" si="31"/>
        <v>#VALUE!</v>
      </c>
      <c r="V95" s="225" t="e">
        <f t="shared" ca="1" si="31"/>
        <v>#VALUE!</v>
      </c>
      <c r="W95" s="225" t="e">
        <f t="shared" ca="1" si="31"/>
        <v>#VALUE!</v>
      </c>
      <c r="X95" s="225" t="e">
        <f t="shared" ca="1" si="31"/>
        <v>#VALUE!</v>
      </c>
      <c r="Y95" s="225" t="e">
        <f t="shared" ca="1" si="31"/>
        <v>#VALUE!</v>
      </c>
      <c r="Z95" s="225" t="e">
        <f t="shared" ca="1" si="31"/>
        <v>#VALUE!</v>
      </c>
      <c r="AA95" s="225" t="e">
        <f t="shared" ca="1" si="31"/>
        <v>#VALUE!</v>
      </c>
      <c r="AB95" s="225" t="e">
        <f t="shared" ca="1" si="31"/>
        <v>#VALUE!</v>
      </c>
      <c r="AC95" s="225" t="e">
        <f t="shared" ca="1" si="31"/>
        <v>#VALUE!</v>
      </c>
      <c r="AD95" s="225" t="e">
        <f t="shared" ca="1" si="31"/>
        <v>#VALUE!</v>
      </c>
      <c r="AE95" s="225" t="e">
        <f t="shared" ca="1" si="31"/>
        <v>#VALUE!</v>
      </c>
      <c r="AF95" s="225" t="e">
        <f t="shared" ca="1" si="31"/>
        <v>#VALUE!</v>
      </c>
      <c r="AG95" s="225" t="e">
        <f t="shared" ca="1" si="31"/>
        <v>#VALUE!</v>
      </c>
      <c r="AH95" s="225" t="e">
        <f t="shared" ca="1" si="31"/>
        <v>#VALUE!</v>
      </c>
      <c r="AI95" s="225" t="e">
        <f t="shared" ca="1" si="30"/>
        <v>#VALUE!</v>
      </c>
      <c r="AJ95" s="225" t="e">
        <f t="shared" ca="1" si="30"/>
        <v>#VALUE!</v>
      </c>
      <c r="AK95" s="225" t="e">
        <f t="shared" ca="1" si="30"/>
        <v>#VALUE!</v>
      </c>
      <c r="AL95" s="225" t="e">
        <f t="shared" ca="1" si="30"/>
        <v>#VALUE!</v>
      </c>
      <c r="AM95" s="225" t="e">
        <f t="shared" ca="1" si="30"/>
        <v>#VALUE!</v>
      </c>
      <c r="AN95" s="225" t="e">
        <f t="shared" ca="1" si="30"/>
        <v>#VALUE!</v>
      </c>
      <c r="AO95" s="225" t="e">
        <f t="shared" ca="1" si="30"/>
        <v>#VALUE!</v>
      </c>
      <c r="AP95" s="225" t="e">
        <f t="shared" ca="1" si="30"/>
        <v>#VALUE!</v>
      </c>
    </row>
    <row r="96" spans="1:42">
      <c r="A96" s="61" t="str">
        <f>'[5]TS BYDem'!A35</f>
        <v>*</v>
      </c>
      <c r="B96" s="225" t="s">
        <v>288</v>
      </c>
      <c r="C96" s="225" t="s">
        <v>137</v>
      </c>
      <c r="D96" s="225" t="str">
        <f>'[5]TS BYDem'!D35</f>
        <v>IFAH</v>
      </c>
      <c r="E96" s="225" t="s">
        <v>137</v>
      </c>
      <c r="F96" s="225" t="s">
        <v>137</v>
      </c>
      <c r="G96" s="225" t="s">
        <v>137</v>
      </c>
      <c r="H96" s="225" t="s">
        <v>137</v>
      </c>
      <c r="I96" s="225">
        <v>0</v>
      </c>
      <c r="J96" s="225" t="str">
        <f>INDEX('[5]TS BYDem'!$J$10:$J$203,MATCH(D96,'[5]TS BYDem'!$D$10:$D$203,0))</f>
        <v/>
      </c>
      <c r="K96" s="225" t="e">
        <f t="shared" ca="1" si="31"/>
        <v>#VALUE!</v>
      </c>
      <c r="L96" s="225" t="e">
        <f t="shared" ca="1" si="31"/>
        <v>#VALUE!</v>
      </c>
      <c r="M96" s="225" t="e">
        <f t="shared" ca="1" si="31"/>
        <v>#VALUE!</v>
      </c>
      <c r="N96" s="225" t="e">
        <f t="shared" ca="1" si="31"/>
        <v>#VALUE!</v>
      </c>
      <c r="O96" s="225" t="e">
        <f t="shared" ca="1" si="31"/>
        <v>#VALUE!</v>
      </c>
      <c r="P96" s="225" t="e">
        <f t="shared" ca="1" si="31"/>
        <v>#VALUE!</v>
      </c>
      <c r="Q96" s="225" t="e">
        <f t="shared" ca="1" si="31"/>
        <v>#VALUE!</v>
      </c>
      <c r="R96" s="225" t="e">
        <f t="shared" ca="1" si="31"/>
        <v>#VALUE!</v>
      </c>
      <c r="S96" s="225" t="e">
        <f t="shared" ca="1" si="31"/>
        <v>#VALUE!</v>
      </c>
      <c r="T96" s="225" t="e">
        <f t="shared" ca="1" si="31"/>
        <v>#VALUE!</v>
      </c>
      <c r="U96" s="225" t="e">
        <f t="shared" ca="1" si="31"/>
        <v>#VALUE!</v>
      </c>
      <c r="V96" s="225" t="e">
        <f t="shared" ca="1" si="31"/>
        <v>#VALUE!</v>
      </c>
      <c r="W96" s="225" t="e">
        <f t="shared" ca="1" si="31"/>
        <v>#VALUE!</v>
      </c>
      <c r="X96" s="225" t="e">
        <f t="shared" ca="1" si="31"/>
        <v>#VALUE!</v>
      </c>
      <c r="Y96" s="225" t="e">
        <f t="shared" ca="1" si="31"/>
        <v>#VALUE!</v>
      </c>
      <c r="Z96" s="225" t="e">
        <f t="shared" ca="1" si="31"/>
        <v>#VALUE!</v>
      </c>
      <c r="AA96" s="225" t="e">
        <f t="shared" ca="1" si="31"/>
        <v>#VALUE!</v>
      </c>
      <c r="AB96" s="225" t="e">
        <f t="shared" ca="1" si="31"/>
        <v>#VALUE!</v>
      </c>
      <c r="AC96" s="225" t="e">
        <f t="shared" ca="1" si="31"/>
        <v>#VALUE!</v>
      </c>
      <c r="AD96" s="225" t="e">
        <f t="shared" ca="1" si="31"/>
        <v>#VALUE!</v>
      </c>
      <c r="AE96" s="225" t="e">
        <f t="shared" ca="1" si="31"/>
        <v>#VALUE!</v>
      </c>
      <c r="AF96" s="225" t="e">
        <f t="shared" ca="1" si="31"/>
        <v>#VALUE!</v>
      </c>
      <c r="AG96" s="225" t="e">
        <f t="shared" ca="1" si="31"/>
        <v>#VALUE!</v>
      </c>
      <c r="AH96" s="225" t="e">
        <f t="shared" ca="1" si="31"/>
        <v>#VALUE!</v>
      </c>
      <c r="AI96" s="225" t="e">
        <f t="shared" ca="1" si="30"/>
        <v>#VALUE!</v>
      </c>
      <c r="AJ96" s="225" t="e">
        <f t="shared" ca="1" si="30"/>
        <v>#VALUE!</v>
      </c>
      <c r="AK96" s="225" t="e">
        <f t="shared" ca="1" si="30"/>
        <v>#VALUE!</v>
      </c>
      <c r="AL96" s="225" t="e">
        <f t="shared" ca="1" si="30"/>
        <v>#VALUE!</v>
      </c>
      <c r="AM96" s="225" t="e">
        <f t="shared" ca="1" si="30"/>
        <v>#VALUE!</v>
      </c>
      <c r="AN96" s="225" t="e">
        <f t="shared" ca="1" si="30"/>
        <v>#VALUE!</v>
      </c>
      <c r="AO96" s="225" t="e">
        <f t="shared" ca="1" si="30"/>
        <v>#VALUE!</v>
      </c>
      <c r="AP96" s="225" t="e">
        <f t="shared" ca="1" si="30"/>
        <v>#VALUE!</v>
      </c>
    </row>
    <row r="97" spans="1:42">
      <c r="A97" s="61" t="str">
        <f>'[5]TS BYDem'!A36</f>
        <v>*</v>
      </c>
      <c r="B97" s="225" t="s">
        <v>288</v>
      </c>
      <c r="C97" s="225" t="s">
        <v>137</v>
      </c>
      <c r="D97" s="225" t="str">
        <f>'[5]TS BYDem'!D36</f>
        <v>IFAP</v>
      </c>
      <c r="E97" s="225" t="s">
        <v>137</v>
      </c>
      <c r="F97" s="225" t="s">
        <v>137</v>
      </c>
      <c r="G97" s="225" t="s">
        <v>137</v>
      </c>
      <c r="H97" s="225" t="s">
        <v>137</v>
      </c>
      <c r="I97" s="225">
        <v>0</v>
      </c>
      <c r="J97" s="225" t="str">
        <f>INDEX('[5]TS BYDem'!$J$10:$J$203,MATCH(D97,'[5]TS BYDem'!$D$10:$D$203,0))</f>
        <v/>
      </c>
      <c r="K97" s="225" t="e">
        <f t="shared" ca="1" si="31"/>
        <v>#VALUE!</v>
      </c>
      <c r="L97" s="225" t="e">
        <f t="shared" ca="1" si="31"/>
        <v>#VALUE!</v>
      </c>
      <c r="M97" s="225" t="e">
        <f t="shared" ca="1" si="31"/>
        <v>#VALUE!</v>
      </c>
      <c r="N97" s="225" t="e">
        <f t="shared" ca="1" si="31"/>
        <v>#VALUE!</v>
      </c>
      <c r="O97" s="225" t="e">
        <f t="shared" ca="1" si="31"/>
        <v>#VALUE!</v>
      </c>
      <c r="P97" s="225" t="e">
        <f t="shared" ca="1" si="31"/>
        <v>#VALUE!</v>
      </c>
      <c r="Q97" s="225" t="e">
        <f t="shared" ca="1" si="31"/>
        <v>#VALUE!</v>
      </c>
      <c r="R97" s="225" t="e">
        <f t="shared" ca="1" si="31"/>
        <v>#VALUE!</v>
      </c>
      <c r="S97" s="225" t="e">
        <f t="shared" ca="1" si="31"/>
        <v>#VALUE!</v>
      </c>
      <c r="T97" s="225" t="e">
        <f t="shared" ca="1" si="31"/>
        <v>#VALUE!</v>
      </c>
      <c r="U97" s="225" t="e">
        <f t="shared" ca="1" si="31"/>
        <v>#VALUE!</v>
      </c>
      <c r="V97" s="225" t="e">
        <f t="shared" ca="1" si="31"/>
        <v>#VALUE!</v>
      </c>
      <c r="W97" s="225" t="e">
        <f t="shared" ca="1" si="31"/>
        <v>#VALUE!</v>
      </c>
      <c r="X97" s="225" t="e">
        <f t="shared" ca="1" si="31"/>
        <v>#VALUE!</v>
      </c>
      <c r="Y97" s="225" t="e">
        <f t="shared" ca="1" si="31"/>
        <v>#VALUE!</v>
      </c>
      <c r="Z97" s="225" t="e">
        <f t="shared" ca="1" si="31"/>
        <v>#VALUE!</v>
      </c>
      <c r="AA97" s="225" t="e">
        <f t="shared" ca="1" si="31"/>
        <v>#VALUE!</v>
      </c>
      <c r="AB97" s="225" t="e">
        <f t="shared" ca="1" si="31"/>
        <v>#VALUE!</v>
      </c>
      <c r="AC97" s="225" t="e">
        <f t="shared" ca="1" si="31"/>
        <v>#VALUE!</v>
      </c>
      <c r="AD97" s="225" t="e">
        <f t="shared" ca="1" si="31"/>
        <v>#VALUE!</v>
      </c>
      <c r="AE97" s="225" t="e">
        <f t="shared" ca="1" si="31"/>
        <v>#VALUE!</v>
      </c>
      <c r="AF97" s="225" t="e">
        <f t="shared" ca="1" si="31"/>
        <v>#VALUE!</v>
      </c>
      <c r="AG97" s="225" t="e">
        <f t="shared" ca="1" si="31"/>
        <v>#VALUE!</v>
      </c>
      <c r="AH97" s="225" t="e">
        <f t="shared" ca="1" si="31"/>
        <v>#VALUE!</v>
      </c>
      <c r="AI97" s="225" t="e">
        <f t="shared" ca="1" si="30"/>
        <v>#VALUE!</v>
      </c>
      <c r="AJ97" s="225" t="e">
        <f t="shared" ca="1" si="30"/>
        <v>#VALUE!</v>
      </c>
      <c r="AK97" s="225" t="e">
        <f t="shared" ca="1" si="30"/>
        <v>#VALUE!</v>
      </c>
      <c r="AL97" s="225" t="e">
        <f t="shared" ca="1" si="30"/>
        <v>#VALUE!</v>
      </c>
      <c r="AM97" s="225" t="e">
        <f t="shared" ca="1" si="30"/>
        <v>#VALUE!</v>
      </c>
      <c r="AN97" s="225" t="e">
        <f t="shared" ca="1" si="30"/>
        <v>#VALUE!</v>
      </c>
      <c r="AO97" s="225" t="e">
        <f t="shared" ca="1" si="30"/>
        <v>#VALUE!</v>
      </c>
      <c r="AP97" s="225" t="e">
        <f t="shared" ca="1" si="30"/>
        <v>#VALUE!</v>
      </c>
    </row>
    <row r="98" spans="1:42">
      <c r="A98" s="61" t="str">
        <f>'[5]TS BYDem'!A37</f>
        <v>*</v>
      </c>
      <c r="B98" s="225" t="s">
        <v>288</v>
      </c>
      <c r="C98" s="225" t="s">
        <v>137</v>
      </c>
      <c r="D98" s="225" t="str">
        <f>'[5]TS BYDem'!D37</f>
        <v>IFAF</v>
      </c>
      <c r="E98" s="225" t="s">
        <v>137</v>
      </c>
      <c r="F98" s="225" t="s">
        <v>137</v>
      </c>
      <c r="G98" s="225" t="s">
        <v>137</v>
      </c>
      <c r="H98" s="225" t="s">
        <v>137</v>
      </c>
      <c r="I98" s="225">
        <v>0</v>
      </c>
      <c r="J98" s="225" t="str">
        <f>INDEX('[5]TS BYDem'!$J$10:$J$203,MATCH(D98,'[5]TS BYDem'!$D$10:$D$203,0))</f>
        <v/>
      </c>
      <c r="K98" s="225" t="e">
        <f t="shared" ca="1" si="31"/>
        <v>#VALUE!</v>
      </c>
      <c r="L98" s="225" t="e">
        <f t="shared" ca="1" si="31"/>
        <v>#VALUE!</v>
      </c>
      <c r="M98" s="225" t="e">
        <f t="shared" ca="1" si="31"/>
        <v>#VALUE!</v>
      </c>
      <c r="N98" s="225" t="e">
        <f t="shared" ca="1" si="31"/>
        <v>#VALUE!</v>
      </c>
      <c r="O98" s="225" t="e">
        <f t="shared" ca="1" si="31"/>
        <v>#VALUE!</v>
      </c>
      <c r="P98" s="225" t="e">
        <f t="shared" ca="1" si="31"/>
        <v>#VALUE!</v>
      </c>
      <c r="Q98" s="225" t="e">
        <f t="shared" ca="1" si="31"/>
        <v>#VALUE!</v>
      </c>
      <c r="R98" s="225" t="e">
        <f t="shared" ca="1" si="31"/>
        <v>#VALUE!</v>
      </c>
      <c r="S98" s="225" t="e">
        <f t="shared" ca="1" si="31"/>
        <v>#VALUE!</v>
      </c>
      <c r="T98" s="225" t="e">
        <f t="shared" ca="1" si="31"/>
        <v>#VALUE!</v>
      </c>
      <c r="U98" s="225" t="e">
        <f t="shared" ca="1" si="31"/>
        <v>#VALUE!</v>
      </c>
      <c r="V98" s="225" t="e">
        <f t="shared" ca="1" si="31"/>
        <v>#VALUE!</v>
      </c>
      <c r="W98" s="225" t="e">
        <f t="shared" ca="1" si="31"/>
        <v>#VALUE!</v>
      </c>
      <c r="X98" s="225" t="e">
        <f t="shared" ca="1" si="31"/>
        <v>#VALUE!</v>
      </c>
      <c r="Y98" s="225" t="e">
        <f t="shared" ca="1" si="31"/>
        <v>#VALUE!</v>
      </c>
      <c r="Z98" s="225" t="e">
        <f t="shared" ca="1" si="31"/>
        <v>#VALUE!</v>
      </c>
      <c r="AA98" s="225" t="e">
        <f t="shared" ca="1" si="31"/>
        <v>#VALUE!</v>
      </c>
      <c r="AB98" s="225" t="e">
        <f t="shared" ca="1" si="31"/>
        <v>#VALUE!</v>
      </c>
      <c r="AC98" s="225" t="e">
        <f t="shared" ca="1" si="31"/>
        <v>#VALUE!</v>
      </c>
      <c r="AD98" s="225" t="e">
        <f t="shared" ca="1" si="31"/>
        <v>#VALUE!</v>
      </c>
      <c r="AE98" s="225" t="e">
        <f t="shared" ca="1" si="31"/>
        <v>#VALUE!</v>
      </c>
      <c r="AF98" s="225" t="e">
        <f t="shared" ca="1" si="31"/>
        <v>#VALUE!</v>
      </c>
      <c r="AG98" s="225" t="e">
        <f t="shared" ca="1" si="31"/>
        <v>#VALUE!</v>
      </c>
      <c r="AH98" s="225" t="e">
        <f t="shared" ca="1" si="31"/>
        <v>#VALUE!</v>
      </c>
      <c r="AI98" s="225" t="e">
        <f t="shared" ca="1" si="30"/>
        <v>#VALUE!</v>
      </c>
      <c r="AJ98" s="225" t="e">
        <f t="shared" ca="1" si="30"/>
        <v>#VALUE!</v>
      </c>
      <c r="AK98" s="225" t="e">
        <f t="shared" ca="1" si="30"/>
        <v>#VALUE!</v>
      </c>
      <c r="AL98" s="225" t="e">
        <f t="shared" ca="1" si="30"/>
        <v>#VALUE!</v>
      </c>
      <c r="AM98" s="225" t="e">
        <f t="shared" ca="1" si="30"/>
        <v>#VALUE!</v>
      </c>
      <c r="AN98" s="225" t="e">
        <f t="shared" ca="1" si="30"/>
        <v>#VALUE!</v>
      </c>
      <c r="AO98" s="225" t="e">
        <f t="shared" ca="1" si="30"/>
        <v>#VALUE!</v>
      </c>
      <c r="AP98" s="225" t="e">
        <f t="shared" ca="1" si="30"/>
        <v>#VALUE!</v>
      </c>
    </row>
    <row r="99" spans="1:42">
      <c r="A99" s="61" t="str">
        <f>'[5]TS BYDem'!A38</f>
        <v>*</v>
      </c>
      <c r="B99" s="225" t="s">
        <v>288</v>
      </c>
      <c r="C99" s="225" t="s">
        <v>137</v>
      </c>
      <c r="D99" s="225" t="str">
        <f>'[5]TS BYDem'!D38</f>
        <v>IFAO</v>
      </c>
      <c r="E99" s="225" t="s">
        <v>137</v>
      </c>
      <c r="F99" s="225" t="s">
        <v>137</v>
      </c>
      <c r="G99" s="225" t="s">
        <v>137</v>
      </c>
      <c r="H99" s="225" t="s">
        <v>137</v>
      </c>
      <c r="I99" s="225">
        <v>0</v>
      </c>
      <c r="J99" s="225" t="str">
        <f>INDEX('[5]TS BYDem'!$J$10:$J$203,MATCH(D99,'[5]TS BYDem'!$D$10:$D$203,0))</f>
        <v/>
      </c>
      <c r="K99" s="225" t="e">
        <f t="shared" ca="1" si="31"/>
        <v>#VALUE!</v>
      </c>
      <c r="L99" s="225" t="e">
        <f t="shared" ca="1" si="31"/>
        <v>#VALUE!</v>
      </c>
      <c r="M99" s="225" t="e">
        <f t="shared" ca="1" si="31"/>
        <v>#VALUE!</v>
      </c>
      <c r="N99" s="225" t="e">
        <f t="shared" ca="1" si="31"/>
        <v>#VALUE!</v>
      </c>
      <c r="O99" s="225" t="e">
        <f t="shared" ca="1" si="31"/>
        <v>#VALUE!</v>
      </c>
      <c r="P99" s="225" t="e">
        <f t="shared" ca="1" si="31"/>
        <v>#VALUE!</v>
      </c>
      <c r="Q99" s="225" t="e">
        <f t="shared" ca="1" si="31"/>
        <v>#VALUE!</v>
      </c>
      <c r="R99" s="225" t="e">
        <f t="shared" ca="1" si="31"/>
        <v>#VALUE!</v>
      </c>
      <c r="S99" s="225" t="e">
        <f t="shared" ca="1" si="31"/>
        <v>#VALUE!</v>
      </c>
      <c r="T99" s="225" t="e">
        <f t="shared" ca="1" si="31"/>
        <v>#VALUE!</v>
      </c>
      <c r="U99" s="225" t="e">
        <f t="shared" ca="1" si="31"/>
        <v>#VALUE!</v>
      </c>
      <c r="V99" s="225" t="e">
        <f t="shared" ca="1" si="31"/>
        <v>#VALUE!</v>
      </c>
      <c r="W99" s="225" t="e">
        <f t="shared" ca="1" si="31"/>
        <v>#VALUE!</v>
      </c>
      <c r="X99" s="225" t="e">
        <f t="shared" ca="1" si="31"/>
        <v>#VALUE!</v>
      </c>
      <c r="Y99" s="225" t="e">
        <f t="shared" ca="1" si="31"/>
        <v>#VALUE!</v>
      </c>
      <c r="Z99" s="225" t="e">
        <f t="shared" ca="1" si="31"/>
        <v>#VALUE!</v>
      </c>
      <c r="AA99" s="225" t="e">
        <f t="shared" ca="1" si="31"/>
        <v>#VALUE!</v>
      </c>
      <c r="AB99" s="225" t="e">
        <f t="shared" ca="1" si="31"/>
        <v>#VALUE!</v>
      </c>
      <c r="AC99" s="225" t="e">
        <f t="shared" ca="1" si="31"/>
        <v>#VALUE!</v>
      </c>
      <c r="AD99" s="225" t="e">
        <f t="shared" ca="1" si="31"/>
        <v>#VALUE!</v>
      </c>
      <c r="AE99" s="225" t="e">
        <f t="shared" ca="1" si="31"/>
        <v>#VALUE!</v>
      </c>
      <c r="AF99" s="225" t="e">
        <f t="shared" ca="1" si="31"/>
        <v>#VALUE!</v>
      </c>
      <c r="AG99" s="225" t="e">
        <f t="shared" ca="1" si="31"/>
        <v>#VALUE!</v>
      </c>
      <c r="AH99" s="225" t="e">
        <f t="shared" ca="1" si="31"/>
        <v>#VALUE!</v>
      </c>
      <c r="AI99" s="225" t="e">
        <f t="shared" ca="1" si="30"/>
        <v>#VALUE!</v>
      </c>
      <c r="AJ99" s="225" t="e">
        <f t="shared" ca="1" si="30"/>
        <v>#VALUE!</v>
      </c>
      <c r="AK99" s="225" t="e">
        <f t="shared" ca="1" si="30"/>
        <v>#VALUE!</v>
      </c>
      <c r="AL99" s="225" t="e">
        <f t="shared" ca="1" si="30"/>
        <v>#VALUE!</v>
      </c>
      <c r="AM99" s="225" t="e">
        <f t="shared" ca="1" si="30"/>
        <v>#VALUE!</v>
      </c>
      <c r="AN99" s="225" t="e">
        <f t="shared" ca="1" si="30"/>
        <v>#VALUE!</v>
      </c>
      <c r="AO99" s="225" t="e">
        <f t="shared" ca="1" si="30"/>
        <v>#VALUE!</v>
      </c>
      <c r="AP99" s="225" t="e">
        <f t="shared" ca="1" si="30"/>
        <v>#VALUE!</v>
      </c>
    </row>
    <row r="100" spans="1:42">
      <c r="A100" s="61" t="str">
        <f>'[5]TS BYDem'!A39</f>
        <v>*</v>
      </c>
      <c r="B100" s="225" t="s">
        <v>288</v>
      </c>
      <c r="C100" s="225" t="s">
        <v>137</v>
      </c>
      <c r="D100" s="225" t="str">
        <f>'[5]TS BYDem'!D39</f>
        <v>IFAE</v>
      </c>
      <c r="E100" s="225" t="s">
        <v>137</v>
      </c>
      <c r="F100" s="225" t="s">
        <v>137</v>
      </c>
      <c r="G100" s="225" t="s">
        <v>137</v>
      </c>
      <c r="H100" s="225" t="s">
        <v>137</v>
      </c>
      <c r="I100" s="225">
        <v>0</v>
      </c>
      <c r="J100" s="225" t="str">
        <f>INDEX('[5]TS BYDem'!$J$10:$J$203,MATCH(D100,'[5]TS BYDem'!$D$10:$D$203,0))</f>
        <v/>
      </c>
      <c r="K100" s="225" t="e">
        <f t="shared" ca="1" si="31"/>
        <v>#VALUE!</v>
      </c>
      <c r="L100" s="225" t="e">
        <f t="shared" ca="1" si="31"/>
        <v>#VALUE!</v>
      </c>
      <c r="M100" s="225" t="e">
        <f t="shared" ca="1" si="31"/>
        <v>#VALUE!</v>
      </c>
      <c r="N100" s="225" t="e">
        <f t="shared" ca="1" si="31"/>
        <v>#VALUE!</v>
      </c>
      <c r="O100" s="225" t="e">
        <f t="shared" ca="1" si="31"/>
        <v>#VALUE!</v>
      </c>
      <c r="P100" s="225" t="e">
        <f t="shared" ca="1" si="31"/>
        <v>#VALUE!</v>
      </c>
      <c r="Q100" s="225" t="e">
        <f t="shared" ca="1" si="31"/>
        <v>#VALUE!</v>
      </c>
      <c r="R100" s="225" t="e">
        <f t="shared" ca="1" si="31"/>
        <v>#VALUE!</v>
      </c>
      <c r="S100" s="225" t="e">
        <f t="shared" ca="1" si="31"/>
        <v>#VALUE!</v>
      </c>
      <c r="T100" s="225" t="e">
        <f t="shared" ca="1" si="31"/>
        <v>#VALUE!</v>
      </c>
      <c r="U100" s="225" t="e">
        <f t="shared" ca="1" si="31"/>
        <v>#VALUE!</v>
      </c>
      <c r="V100" s="225" t="e">
        <f t="shared" ca="1" si="31"/>
        <v>#VALUE!</v>
      </c>
      <c r="W100" s="225" t="e">
        <f t="shared" ca="1" si="31"/>
        <v>#VALUE!</v>
      </c>
      <c r="X100" s="225" t="e">
        <f t="shared" ca="1" si="31"/>
        <v>#VALUE!</v>
      </c>
      <c r="Y100" s="225" t="e">
        <f t="shared" ca="1" si="31"/>
        <v>#VALUE!</v>
      </c>
      <c r="Z100" s="225" t="e">
        <f t="shared" ca="1" si="31"/>
        <v>#VALUE!</v>
      </c>
      <c r="AA100" s="225" t="e">
        <f t="shared" ca="1" si="31"/>
        <v>#VALUE!</v>
      </c>
      <c r="AB100" s="225" t="e">
        <f t="shared" ca="1" si="31"/>
        <v>#VALUE!</v>
      </c>
      <c r="AC100" s="225" t="e">
        <f t="shared" ca="1" si="31"/>
        <v>#VALUE!</v>
      </c>
      <c r="AD100" s="225" t="e">
        <f t="shared" ca="1" si="31"/>
        <v>#VALUE!</v>
      </c>
      <c r="AE100" s="225" t="e">
        <f t="shared" ca="1" si="31"/>
        <v>#VALUE!</v>
      </c>
      <c r="AF100" s="225" t="e">
        <f t="shared" ca="1" si="31"/>
        <v>#VALUE!</v>
      </c>
      <c r="AG100" s="225" t="e">
        <f t="shared" ca="1" si="31"/>
        <v>#VALUE!</v>
      </c>
      <c r="AH100" s="225" t="e">
        <f t="shared" ca="1" si="31"/>
        <v>#VALUE!</v>
      </c>
      <c r="AI100" s="225" t="e">
        <f t="shared" ca="1" si="30"/>
        <v>#VALUE!</v>
      </c>
      <c r="AJ100" s="225" t="e">
        <f t="shared" ca="1" si="30"/>
        <v>#VALUE!</v>
      </c>
      <c r="AK100" s="225" t="e">
        <f t="shared" ca="1" si="30"/>
        <v>#VALUE!</v>
      </c>
      <c r="AL100" s="225" t="e">
        <f t="shared" ca="1" si="30"/>
        <v>#VALUE!</v>
      </c>
      <c r="AM100" s="225" t="e">
        <f t="shared" ca="1" si="30"/>
        <v>#VALUE!</v>
      </c>
      <c r="AN100" s="225" t="e">
        <f t="shared" ca="1" si="30"/>
        <v>#VALUE!</v>
      </c>
      <c r="AO100" s="225" t="e">
        <f t="shared" ca="1" si="30"/>
        <v>#VALUE!</v>
      </c>
      <c r="AP100" s="225" t="e">
        <f t="shared" ca="1" si="30"/>
        <v>#VALUE!</v>
      </c>
    </row>
    <row r="101" spans="1:42">
      <c r="A101" s="61" t="str">
        <f>'[5]TS BYDem'!A40</f>
        <v>*</v>
      </c>
      <c r="B101" s="225" t="s">
        <v>288</v>
      </c>
      <c r="C101" s="225" t="s">
        <v>137</v>
      </c>
      <c r="D101" s="225">
        <f>'[5]TS BYDem'!D40</f>
        <v>0</v>
      </c>
      <c r="E101" s="225" t="s">
        <v>137</v>
      </c>
      <c r="F101" s="225" t="s">
        <v>137</v>
      </c>
      <c r="G101" s="225" t="s">
        <v>137</v>
      </c>
      <c r="H101" s="225" t="s">
        <v>137</v>
      </c>
      <c r="I101" s="225">
        <v>0</v>
      </c>
      <c r="J101" s="225" t="str">
        <f>INDEX('[5]TS BYDem'!$J$10:$J$203,MATCH(D101,'[5]TS BYDem'!$D$10:$D$203,0))</f>
        <v/>
      </c>
      <c r="K101" s="225" t="e">
        <f t="shared" ca="1" si="31"/>
        <v>#VALUE!</v>
      </c>
      <c r="L101" s="225" t="e">
        <f t="shared" ca="1" si="31"/>
        <v>#VALUE!</v>
      </c>
      <c r="M101" s="225" t="e">
        <f t="shared" ca="1" si="31"/>
        <v>#VALUE!</v>
      </c>
      <c r="N101" s="225" t="e">
        <f t="shared" ca="1" si="31"/>
        <v>#VALUE!</v>
      </c>
      <c r="O101" s="225" t="e">
        <f t="shared" ca="1" si="31"/>
        <v>#VALUE!</v>
      </c>
      <c r="P101" s="225" t="e">
        <f t="shared" ca="1" si="31"/>
        <v>#VALUE!</v>
      </c>
      <c r="Q101" s="225" t="e">
        <f t="shared" ca="1" si="31"/>
        <v>#VALUE!</v>
      </c>
      <c r="R101" s="225" t="e">
        <f t="shared" ca="1" si="31"/>
        <v>#VALUE!</v>
      </c>
      <c r="S101" s="225" t="e">
        <f t="shared" ca="1" si="31"/>
        <v>#VALUE!</v>
      </c>
      <c r="T101" s="225" t="e">
        <f t="shared" ca="1" si="31"/>
        <v>#VALUE!</v>
      </c>
      <c r="U101" s="225" t="e">
        <f t="shared" ca="1" si="31"/>
        <v>#VALUE!</v>
      </c>
      <c r="V101" s="225" t="e">
        <f t="shared" ca="1" si="31"/>
        <v>#VALUE!</v>
      </c>
      <c r="W101" s="225" t="e">
        <f t="shared" ca="1" si="31"/>
        <v>#VALUE!</v>
      </c>
      <c r="X101" s="225" t="e">
        <f t="shared" ca="1" si="31"/>
        <v>#VALUE!</v>
      </c>
      <c r="Y101" s="225" t="e">
        <f t="shared" ca="1" si="31"/>
        <v>#VALUE!</v>
      </c>
      <c r="Z101" s="225" t="e">
        <f t="shared" ca="1" si="31"/>
        <v>#VALUE!</v>
      </c>
      <c r="AA101" s="225" t="e">
        <f t="shared" ca="1" si="31"/>
        <v>#VALUE!</v>
      </c>
      <c r="AB101" s="225" t="e">
        <f t="shared" ca="1" si="31"/>
        <v>#VALUE!</v>
      </c>
      <c r="AC101" s="225" t="e">
        <f t="shared" ca="1" si="31"/>
        <v>#VALUE!</v>
      </c>
      <c r="AD101" s="225" t="e">
        <f t="shared" ca="1" si="31"/>
        <v>#VALUE!</v>
      </c>
      <c r="AE101" s="225" t="e">
        <f t="shared" ca="1" si="31"/>
        <v>#VALUE!</v>
      </c>
      <c r="AF101" s="225" t="e">
        <f t="shared" ca="1" si="31"/>
        <v>#VALUE!</v>
      </c>
      <c r="AG101" s="225" t="e">
        <f t="shared" ca="1" si="31"/>
        <v>#VALUE!</v>
      </c>
      <c r="AH101" s="225" t="e">
        <f t="shared" ca="1" si="31"/>
        <v>#VALUE!</v>
      </c>
      <c r="AI101" s="225" t="e">
        <f t="shared" ca="1" si="30"/>
        <v>#VALUE!</v>
      </c>
      <c r="AJ101" s="225" t="e">
        <f t="shared" ca="1" si="30"/>
        <v>#VALUE!</v>
      </c>
      <c r="AK101" s="225" t="e">
        <f t="shared" ca="1" si="30"/>
        <v>#VALUE!</v>
      </c>
      <c r="AL101" s="225" t="e">
        <f t="shared" ca="1" si="30"/>
        <v>#VALUE!</v>
      </c>
      <c r="AM101" s="225" t="e">
        <f t="shared" ca="1" si="30"/>
        <v>#VALUE!</v>
      </c>
      <c r="AN101" s="225" t="e">
        <f t="shared" ca="1" si="30"/>
        <v>#VALUE!</v>
      </c>
      <c r="AO101" s="225" t="e">
        <f t="shared" ca="1" si="30"/>
        <v>#VALUE!</v>
      </c>
      <c r="AP101" s="225" t="e">
        <f t="shared" ca="1" si="30"/>
        <v>#VALUE!</v>
      </c>
    </row>
    <row r="102" spans="1:42">
      <c r="A102" s="61" t="str">
        <f>'[5]TS BYDem'!A41</f>
        <v>*</v>
      </c>
      <c r="B102" s="225" t="s">
        <v>288</v>
      </c>
      <c r="C102" s="225" t="s">
        <v>137</v>
      </c>
      <c r="D102" s="225" t="str">
        <f>'[5]TS BYDem'!D41</f>
        <v>IFAS</v>
      </c>
      <c r="E102" s="225" t="s">
        <v>137</v>
      </c>
      <c r="F102" s="225" t="s">
        <v>137</v>
      </c>
      <c r="G102" s="225" t="s">
        <v>137</v>
      </c>
      <c r="H102" s="225" t="s">
        <v>137</v>
      </c>
      <c r="I102" s="225">
        <v>0</v>
      </c>
      <c r="J102" s="225" t="str">
        <f>INDEX('[5]TS BYDem'!$J$10:$J$203,MATCH(D102,'[5]TS BYDem'!$D$10:$D$203,0))</f>
        <v/>
      </c>
      <c r="K102" s="225" t="e">
        <f t="shared" ca="1" si="31"/>
        <v>#VALUE!</v>
      </c>
      <c r="L102" s="225" t="e">
        <f t="shared" ca="1" si="31"/>
        <v>#VALUE!</v>
      </c>
      <c r="M102" s="225" t="e">
        <f t="shared" ca="1" si="31"/>
        <v>#VALUE!</v>
      </c>
      <c r="N102" s="225" t="e">
        <f t="shared" ca="1" si="31"/>
        <v>#VALUE!</v>
      </c>
      <c r="O102" s="225" t="e">
        <f t="shared" ca="1" si="31"/>
        <v>#VALUE!</v>
      </c>
      <c r="P102" s="225" t="e">
        <f t="shared" ca="1" si="31"/>
        <v>#VALUE!</v>
      </c>
      <c r="Q102" s="225" t="e">
        <f t="shared" ca="1" si="31"/>
        <v>#VALUE!</v>
      </c>
      <c r="R102" s="225" t="e">
        <f t="shared" ca="1" si="31"/>
        <v>#VALUE!</v>
      </c>
      <c r="S102" s="225" t="e">
        <f t="shared" ca="1" si="31"/>
        <v>#VALUE!</v>
      </c>
      <c r="T102" s="225" t="e">
        <f t="shared" ca="1" si="31"/>
        <v>#VALUE!</v>
      </c>
      <c r="U102" s="225" t="e">
        <f t="shared" ca="1" si="31"/>
        <v>#VALUE!</v>
      </c>
      <c r="V102" s="225" t="e">
        <f t="shared" ca="1" si="31"/>
        <v>#VALUE!</v>
      </c>
      <c r="W102" s="225" t="e">
        <f t="shared" ca="1" si="31"/>
        <v>#VALUE!</v>
      </c>
      <c r="X102" s="225" t="e">
        <f t="shared" ca="1" si="31"/>
        <v>#VALUE!</v>
      </c>
      <c r="Y102" s="225" t="e">
        <f t="shared" ca="1" si="31"/>
        <v>#VALUE!</v>
      </c>
      <c r="Z102" s="225" t="e">
        <f t="shared" ca="1" si="31"/>
        <v>#VALUE!</v>
      </c>
      <c r="AA102" s="225" t="e">
        <f t="shared" ca="1" si="31"/>
        <v>#VALUE!</v>
      </c>
      <c r="AB102" s="225" t="e">
        <f t="shared" ca="1" si="31"/>
        <v>#VALUE!</v>
      </c>
      <c r="AC102" s="225" t="e">
        <f t="shared" ca="1" si="31"/>
        <v>#VALUE!</v>
      </c>
      <c r="AD102" s="225" t="e">
        <f t="shared" ca="1" si="31"/>
        <v>#VALUE!</v>
      </c>
      <c r="AE102" s="225" t="e">
        <f t="shared" ca="1" si="31"/>
        <v>#VALUE!</v>
      </c>
      <c r="AF102" s="225" t="e">
        <f t="shared" ca="1" si="31"/>
        <v>#VALUE!</v>
      </c>
      <c r="AG102" s="225" t="e">
        <f t="shared" ca="1" si="31"/>
        <v>#VALUE!</v>
      </c>
      <c r="AH102" s="225" t="e">
        <f t="shared" ca="1" si="31"/>
        <v>#VALUE!</v>
      </c>
      <c r="AI102" s="225" t="e">
        <f t="shared" ca="1" si="30"/>
        <v>#VALUE!</v>
      </c>
      <c r="AJ102" s="225" t="e">
        <f t="shared" ca="1" si="30"/>
        <v>#VALUE!</v>
      </c>
      <c r="AK102" s="225" t="e">
        <f t="shared" ca="1" si="30"/>
        <v>#VALUE!</v>
      </c>
      <c r="AL102" s="225" t="e">
        <f t="shared" ca="1" si="30"/>
        <v>#VALUE!</v>
      </c>
      <c r="AM102" s="225" t="e">
        <f t="shared" ca="1" si="30"/>
        <v>#VALUE!</v>
      </c>
      <c r="AN102" s="225" t="e">
        <f t="shared" ca="1" si="30"/>
        <v>#VALUE!</v>
      </c>
      <c r="AO102" s="225" t="e">
        <f t="shared" ca="1" si="30"/>
        <v>#VALUE!</v>
      </c>
      <c r="AP102" s="225" t="e">
        <f t="shared" ca="1" si="30"/>
        <v>#VALUE!</v>
      </c>
    </row>
    <row r="103" spans="1:42">
      <c r="A103" s="61" t="str">
        <f>'[5]TS BYDem'!A42</f>
        <v>*</v>
      </c>
      <c r="B103" s="225" t="s">
        <v>288</v>
      </c>
      <c r="C103" s="225" t="s">
        <v>137</v>
      </c>
      <c r="D103" s="225" t="str">
        <f>'[5]TS BYDem'!D42</f>
        <v>IFAS</v>
      </c>
      <c r="E103" s="225" t="s">
        <v>137</v>
      </c>
      <c r="F103" s="225" t="s">
        <v>137</v>
      </c>
      <c r="G103" s="225" t="s">
        <v>137</v>
      </c>
      <c r="H103" s="225" t="s">
        <v>137</v>
      </c>
      <c r="I103" s="225">
        <v>0</v>
      </c>
      <c r="J103" s="225" t="str">
        <f>INDEX('[5]TS BYDem'!$J$10:$J$203,MATCH(D103,'[5]TS BYDem'!$D$10:$D$203,0))</f>
        <v/>
      </c>
      <c r="K103" s="225" t="e">
        <f t="shared" ca="1" si="31"/>
        <v>#VALUE!</v>
      </c>
      <c r="L103" s="225" t="e">
        <f t="shared" ca="1" si="31"/>
        <v>#VALUE!</v>
      </c>
      <c r="M103" s="225" t="e">
        <f t="shared" ca="1" si="31"/>
        <v>#VALUE!</v>
      </c>
      <c r="N103" s="225" t="e">
        <f t="shared" ca="1" si="31"/>
        <v>#VALUE!</v>
      </c>
      <c r="O103" s="225" t="e">
        <f t="shared" ca="1" si="31"/>
        <v>#VALUE!</v>
      </c>
      <c r="P103" s="225" t="e">
        <f t="shared" ca="1" si="31"/>
        <v>#VALUE!</v>
      </c>
      <c r="Q103" s="225" t="e">
        <f t="shared" ca="1" si="31"/>
        <v>#VALUE!</v>
      </c>
      <c r="R103" s="225" t="e">
        <f t="shared" ca="1" si="31"/>
        <v>#VALUE!</v>
      </c>
      <c r="S103" s="225" t="e">
        <f t="shared" ca="1" si="31"/>
        <v>#VALUE!</v>
      </c>
      <c r="T103" s="225" t="e">
        <f t="shared" ca="1" si="31"/>
        <v>#VALUE!</v>
      </c>
      <c r="U103" s="225" t="e">
        <f t="shared" ca="1" si="31"/>
        <v>#VALUE!</v>
      </c>
      <c r="V103" s="225" t="e">
        <f t="shared" ca="1" si="31"/>
        <v>#VALUE!</v>
      </c>
      <c r="W103" s="225" t="e">
        <f t="shared" ca="1" si="31"/>
        <v>#VALUE!</v>
      </c>
      <c r="X103" s="225" t="e">
        <f t="shared" ca="1" si="31"/>
        <v>#VALUE!</v>
      </c>
      <c r="Y103" s="225" t="e">
        <f t="shared" ca="1" si="31"/>
        <v>#VALUE!</v>
      </c>
      <c r="Z103" s="225" t="e">
        <f t="shared" ref="Z103:AO111" ca="1" si="32">Z$91/Y$91*Y103</f>
        <v>#VALUE!</v>
      </c>
      <c r="AA103" s="225" t="e">
        <f t="shared" ca="1" si="32"/>
        <v>#VALUE!</v>
      </c>
      <c r="AB103" s="225" t="e">
        <f t="shared" ca="1" si="32"/>
        <v>#VALUE!</v>
      </c>
      <c r="AC103" s="225" t="e">
        <f t="shared" ca="1" si="32"/>
        <v>#VALUE!</v>
      </c>
      <c r="AD103" s="225" t="e">
        <f t="shared" ca="1" si="32"/>
        <v>#VALUE!</v>
      </c>
      <c r="AE103" s="225" t="e">
        <f t="shared" ca="1" si="32"/>
        <v>#VALUE!</v>
      </c>
      <c r="AF103" s="225" t="e">
        <f t="shared" ca="1" si="32"/>
        <v>#VALUE!</v>
      </c>
      <c r="AG103" s="225" t="e">
        <f t="shared" ca="1" si="32"/>
        <v>#VALUE!</v>
      </c>
      <c r="AH103" s="225" t="e">
        <f t="shared" ca="1" si="32"/>
        <v>#VALUE!</v>
      </c>
      <c r="AI103" s="225" t="e">
        <f t="shared" ca="1" si="30"/>
        <v>#VALUE!</v>
      </c>
      <c r="AJ103" s="225" t="e">
        <f t="shared" ca="1" si="30"/>
        <v>#VALUE!</v>
      </c>
      <c r="AK103" s="225" t="e">
        <f t="shared" ca="1" si="30"/>
        <v>#VALUE!</v>
      </c>
      <c r="AL103" s="225" t="e">
        <f t="shared" ca="1" si="30"/>
        <v>#VALUE!</v>
      </c>
      <c r="AM103" s="225" t="e">
        <f t="shared" ca="1" si="30"/>
        <v>#VALUE!</v>
      </c>
      <c r="AN103" s="225" t="e">
        <f t="shared" ca="1" si="30"/>
        <v>#VALUE!</v>
      </c>
      <c r="AO103" s="225" t="e">
        <f t="shared" ca="1" si="30"/>
        <v>#VALUE!</v>
      </c>
      <c r="AP103" s="225" t="e">
        <f t="shared" ca="1" si="30"/>
        <v>#VALUE!</v>
      </c>
    </row>
    <row r="104" spans="1:42">
      <c r="A104" s="61" t="str">
        <f>'[5]TS BYDem'!A43</f>
        <v>*</v>
      </c>
      <c r="B104" s="225" t="s">
        <v>288</v>
      </c>
      <c r="C104" s="225" t="s">
        <v>137</v>
      </c>
      <c r="D104" s="225" t="str">
        <f>'[5]TS BYDem'!D43</f>
        <v>IFAS</v>
      </c>
      <c r="E104" s="225" t="s">
        <v>137</v>
      </c>
      <c r="F104" s="225" t="s">
        <v>137</v>
      </c>
      <c r="G104" s="225" t="s">
        <v>137</v>
      </c>
      <c r="H104" s="225" t="s">
        <v>137</v>
      </c>
      <c r="I104" s="225">
        <v>0</v>
      </c>
      <c r="J104" s="225" t="str">
        <f>INDEX('[5]TS BYDem'!$J$10:$J$203,MATCH(D104,'[5]TS BYDem'!$D$10:$D$203,0))</f>
        <v/>
      </c>
      <c r="K104" s="225" t="e">
        <f t="shared" ref="K104:Y111" ca="1" si="33">K$91/J$91*J104</f>
        <v>#VALUE!</v>
      </c>
      <c r="L104" s="225" t="e">
        <f t="shared" ca="1" si="33"/>
        <v>#VALUE!</v>
      </c>
      <c r="M104" s="225" t="e">
        <f t="shared" ca="1" si="33"/>
        <v>#VALUE!</v>
      </c>
      <c r="N104" s="225" t="e">
        <f t="shared" ca="1" si="33"/>
        <v>#VALUE!</v>
      </c>
      <c r="O104" s="225" t="e">
        <f t="shared" ca="1" si="33"/>
        <v>#VALUE!</v>
      </c>
      <c r="P104" s="225" t="e">
        <f t="shared" ca="1" si="33"/>
        <v>#VALUE!</v>
      </c>
      <c r="Q104" s="225" t="e">
        <f t="shared" ca="1" si="33"/>
        <v>#VALUE!</v>
      </c>
      <c r="R104" s="225" t="e">
        <f t="shared" ca="1" si="33"/>
        <v>#VALUE!</v>
      </c>
      <c r="S104" s="225" t="e">
        <f t="shared" ca="1" si="33"/>
        <v>#VALUE!</v>
      </c>
      <c r="T104" s="225" t="e">
        <f t="shared" ca="1" si="33"/>
        <v>#VALUE!</v>
      </c>
      <c r="U104" s="225" t="e">
        <f t="shared" ca="1" si="33"/>
        <v>#VALUE!</v>
      </c>
      <c r="V104" s="225" t="e">
        <f t="shared" ca="1" si="33"/>
        <v>#VALUE!</v>
      </c>
      <c r="W104" s="225" t="e">
        <f t="shared" ca="1" si="33"/>
        <v>#VALUE!</v>
      </c>
      <c r="X104" s="225" t="e">
        <f t="shared" ca="1" si="33"/>
        <v>#VALUE!</v>
      </c>
      <c r="Y104" s="225" t="e">
        <f t="shared" ca="1" si="33"/>
        <v>#VALUE!</v>
      </c>
      <c r="Z104" s="225" t="e">
        <f t="shared" ca="1" si="32"/>
        <v>#VALUE!</v>
      </c>
      <c r="AA104" s="225" t="e">
        <f t="shared" ca="1" si="32"/>
        <v>#VALUE!</v>
      </c>
      <c r="AB104" s="225" t="e">
        <f t="shared" ca="1" si="32"/>
        <v>#VALUE!</v>
      </c>
      <c r="AC104" s="225" t="e">
        <f t="shared" ca="1" si="32"/>
        <v>#VALUE!</v>
      </c>
      <c r="AD104" s="225" t="e">
        <f t="shared" ca="1" si="32"/>
        <v>#VALUE!</v>
      </c>
      <c r="AE104" s="225" t="e">
        <f t="shared" ca="1" si="32"/>
        <v>#VALUE!</v>
      </c>
      <c r="AF104" s="225" t="e">
        <f t="shared" ca="1" si="32"/>
        <v>#VALUE!</v>
      </c>
      <c r="AG104" s="225" t="e">
        <f t="shared" ca="1" si="32"/>
        <v>#VALUE!</v>
      </c>
      <c r="AH104" s="225" t="e">
        <f t="shared" ca="1" si="32"/>
        <v>#VALUE!</v>
      </c>
      <c r="AI104" s="225" t="e">
        <f t="shared" ca="1" si="30"/>
        <v>#VALUE!</v>
      </c>
      <c r="AJ104" s="225" t="e">
        <f t="shared" ca="1" si="30"/>
        <v>#VALUE!</v>
      </c>
      <c r="AK104" s="225" t="e">
        <f t="shared" ca="1" si="30"/>
        <v>#VALUE!</v>
      </c>
      <c r="AL104" s="225" t="e">
        <f t="shared" ca="1" si="30"/>
        <v>#VALUE!</v>
      </c>
      <c r="AM104" s="225" t="e">
        <f t="shared" ca="1" si="30"/>
        <v>#VALUE!</v>
      </c>
      <c r="AN104" s="225" t="e">
        <f t="shared" ca="1" si="30"/>
        <v>#VALUE!</v>
      </c>
      <c r="AO104" s="225" t="e">
        <f t="shared" ca="1" si="30"/>
        <v>#VALUE!</v>
      </c>
      <c r="AP104" s="225" t="e">
        <f t="shared" ca="1" si="30"/>
        <v>#VALUE!</v>
      </c>
    </row>
    <row r="105" spans="1:42">
      <c r="A105" s="61" t="str">
        <f>'[5]TS BYDem'!A44</f>
        <v>*</v>
      </c>
      <c r="B105" s="225" t="s">
        <v>288</v>
      </c>
      <c r="C105" s="225" t="s">
        <v>137</v>
      </c>
      <c r="D105" s="225" t="str">
        <f>'[5]TS BYDem'!D44</f>
        <v>IFAS</v>
      </c>
      <c r="E105" s="225" t="s">
        <v>137</v>
      </c>
      <c r="F105" s="225" t="s">
        <v>137</v>
      </c>
      <c r="G105" s="225" t="s">
        <v>137</v>
      </c>
      <c r="H105" s="225" t="s">
        <v>137</v>
      </c>
      <c r="I105" s="225">
        <v>0</v>
      </c>
      <c r="J105" s="225" t="str">
        <f>INDEX('[5]TS BYDem'!$J$10:$J$203,MATCH(D105,'[5]TS BYDem'!$D$10:$D$203,0))</f>
        <v/>
      </c>
      <c r="K105" s="225" t="e">
        <f t="shared" ca="1" si="33"/>
        <v>#VALUE!</v>
      </c>
      <c r="L105" s="225" t="e">
        <f t="shared" ca="1" si="33"/>
        <v>#VALUE!</v>
      </c>
      <c r="M105" s="225" t="e">
        <f t="shared" ca="1" si="33"/>
        <v>#VALUE!</v>
      </c>
      <c r="N105" s="225" t="e">
        <f t="shared" ca="1" si="33"/>
        <v>#VALUE!</v>
      </c>
      <c r="O105" s="225" t="e">
        <f t="shared" ca="1" si="33"/>
        <v>#VALUE!</v>
      </c>
      <c r="P105" s="225" t="e">
        <f t="shared" ca="1" si="33"/>
        <v>#VALUE!</v>
      </c>
      <c r="Q105" s="225" t="e">
        <f t="shared" ca="1" si="33"/>
        <v>#VALUE!</v>
      </c>
      <c r="R105" s="225" t="e">
        <f t="shared" ca="1" si="33"/>
        <v>#VALUE!</v>
      </c>
      <c r="S105" s="225" t="e">
        <f t="shared" ca="1" si="33"/>
        <v>#VALUE!</v>
      </c>
      <c r="T105" s="225" t="e">
        <f t="shared" ca="1" si="33"/>
        <v>#VALUE!</v>
      </c>
      <c r="U105" s="225" t="e">
        <f t="shared" ca="1" si="33"/>
        <v>#VALUE!</v>
      </c>
      <c r="V105" s="225" t="e">
        <f t="shared" ca="1" si="33"/>
        <v>#VALUE!</v>
      </c>
      <c r="W105" s="225" t="e">
        <f t="shared" ca="1" si="33"/>
        <v>#VALUE!</v>
      </c>
      <c r="X105" s="225" t="e">
        <f t="shared" ca="1" si="33"/>
        <v>#VALUE!</v>
      </c>
      <c r="Y105" s="225" t="e">
        <f t="shared" ca="1" si="33"/>
        <v>#VALUE!</v>
      </c>
      <c r="Z105" s="225" t="e">
        <f t="shared" ca="1" si="32"/>
        <v>#VALUE!</v>
      </c>
      <c r="AA105" s="225" t="e">
        <f t="shared" ca="1" si="32"/>
        <v>#VALUE!</v>
      </c>
      <c r="AB105" s="225" t="e">
        <f t="shared" ca="1" si="32"/>
        <v>#VALUE!</v>
      </c>
      <c r="AC105" s="225" t="e">
        <f t="shared" ca="1" si="32"/>
        <v>#VALUE!</v>
      </c>
      <c r="AD105" s="225" t="e">
        <f t="shared" ca="1" si="32"/>
        <v>#VALUE!</v>
      </c>
      <c r="AE105" s="225" t="e">
        <f t="shared" ca="1" si="32"/>
        <v>#VALUE!</v>
      </c>
      <c r="AF105" s="225" t="e">
        <f t="shared" ca="1" si="32"/>
        <v>#VALUE!</v>
      </c>
      <c r="AG105" s="225" t="e">
        <f t="shared" ca="1" si="32"/>
        <v>#VALUE!</v>
      </c>
      <c r="AH105" s="225" t="e">
        <f t="shared" ca="1" si="32"/>
        <v>#VALUE!</v>
      </c>
      <c r="AI105" s="225" t="e">
        <f t="shared" ca="1" si="30"/>
        <v>#VALUE!</v>
      </c>
      <c r="AJ105" s="225" t="e">
        <f t="shared" ca="1" si="30"/>
        <v>#VALUE!</v>
      </c>
      <c r="AK105" s="225" t="e">
        <f t="shared" ca="1" si="30"/>
        <v>#VALUE!</v>
      </c>
      <c r="AL105" s="225" t="e">
        <f t="shared" ca="1" si="30"/>
        <v>#VALUE!</v>
      </c>
      <c r="AM105" s="225" t="e">
        <f t="shared" ca="1" si="30"/>
        <v>#VALUE!</v>
      </c>
      <c r="AN105" s="225" t="e">
        <f t="shared" ca="1" si="30"/>
        <v>#VALUE!</v>
      </c>
      <c r="AO105" s="225" t="e">
        <f t="shared" ca="1" si="30"/>
        <v>#VALUE!</v>
      </c>
      <c r="AP105" s="225" t="e">
        <f t="shared" ca="1" si="30"/>
        <v>#VALUE!</v>
      </c>
    </row>
    <row r="106" spans="1:42">
      <c r="A106" s="61" t="str">
        <f>'[5]TS BYDem'!A45</f>
        <v>*</v>
      </c>
      <c r="B106" s="225" t="s">
        <v>288</v>
      </c>
      <c r="C106" s="225" t="s">
        <v>137</v>
      </c>
      <c r="D106" s="225" t="str">
        <f>'[5]TS BYDem'!D45</f>
        <v>IFAS</v>
      </c>
      <c r="E106" s="225" t="s">
        <v>137</v>
      </c>
      <c r="F106" s="225" t="s">
        <v>137</v>
      </c>
      <c r="G106" s="225" t="s">
        <v>137</v>
      </c>
      <c r="H106" s="225" t="s">
        <v>137</v>
      </c>
      <c r="I106" s="225">
        <v>0</v>
      </c>
      <c r="J106" s="225" t="str">
        <f>INDEX('[5]TS BYDem'!$J$10:$J$203,MATCH(D106,'[5]TS BYDem'!$D$10:$D$203,0))</f>
        <v/>
      </c>
      <c r="K106" s="225" t="e">
        <f t="shared" ca="1" si="33"/>
        <v>#VALUE!</v>
      </c>
      <c r="L106" s="225" t="e">
        <f t="shared" ca="1" si="33"/>
        <v>#VALUE!</v>
      </c>
      <c r="M106" s="225" t="e">
        <f t="shared" ca="1" si="33"/>
        <v>#VALUE!</v>
      </c>
      <c r="N106" s="225" t="e">
        <f t="shared" ca="1" si="33"/>
        <v>#VALUE!</v>
      </c>
      <c r="O106" s="225" t="e">
        <f t="shared" ca="1" si="33"/>
        <v>#VALUE!</v>
      </c>
      <c r="P106" s="225" t="e">
        <f t="shared" ca="1" si="33"/>
        <v>#VALUE!</v>
      </c>
      <c r="Q106" s="225" t="e">
        <f t="shared" ca="1" si="33"/>
        <v>#VALUE!</v>
      </c>
      <c r="R106" s="225" t="e">
        <f t="shared" ca="1" si="33"/>
        <v>#VALUE!</v>
      </c>
      <c r="S106" s="225" t="e">
        <f t="shared" ca="1" si="33"/>
        <v>#VALUE!</v>
      </c>
      <c r="T106" s="225" t="e">
        <f t="shared" ca="1" si="33"/>
        <v>#VALUE!</v>
      </c>
      <c r="U106" s="225" t="e">
        <f t="shared" ca="1" si="33"/>
        <v>#VALUE!</v>
      </c>
      <c r="V106" s="225" t="e">
        <f t="shared" ca="1" si="33"/>
        <v>#VALUE!</v>
      </c>
      <c r="W106" s="225" t="e">
        <f t="shared" ca="1" si="33"/>
        <v>#VALUE!</v>
      </c>
      <c r="X106" s="225" t="e">
        <f t="shared" ca="1" si="33"/>
        <v>#VALUE!</v>
      </c>
      <c r="Y106" s="225" t="e">
        <f t="shared" ca="1" si="33"/>
        <v>#VALUE!</v>
      </c>
      <c r="Z106" s="225" t="e">
        <f t="shared" ca="1" si="32"/>
        <v>#VALUE!</v>
      </c>
      <c r="AA106" s="225" t="e">
        <f t="shared" ca="1" si="32"/>
        <v>#VALUE!</v>
      </c>
      <c r="AB106" s="225" t="e">
        <f t="shared" ca="1" si="32"/>
        <v>#VALUE!</v>
      </c>
      <c r="AC106" s="225" t="e">
        <f t="shared" ca="1" si="32"/>
        <v>#VALUE!</v>
      </c>
      <c r="AD106" s="225" t="e">
        <f t="shared" ca="1" si="32"/>
        <v>#VALUE!</v>
      </c>
      <c r="AE106" s="225" t="e">
        <f t="shared" ca="1" si="32"/>
        <v>#VALUE!</v>
      </c>
      <c r="AF106" s="225" t="e">
        <f t="shared" ca="1" si="32"/>
        <v>#VALUE!</v>
      </c>
      <c r="AG106" s="225" t="e">
        <f t="shared" ca="1" si="32"/>
        <v>#VALUE!</v>
      </c>
      <c r="AH106" s="225" t="e">
        <f t="shared" ca="1" si="32"/>
        <v>#VALUE!</v>
      </c>
      <c r="AI106" s="225" t="e">
        <f t="shared" ca="1" si="30"/>
        <v>#VALUE!</v>
      </c>
      <c r="AJ106" s="225" t="e">
        <f t="shared" ca="1" si="30"/>
        <v>#VALUE!</v>
      </c>
      <c r="AK106" s="225" t="e">
        <f t="shared" ca="1" si="30"/>
        <v>#VALUE!</v>
      </c>
      <c r="AL106" s="225" t="e">
        <f t="shared" ca="1" si="30"/>
        <v>#VALUE!</v>
      </c>
      <c r="AM106" s="225" t="e">
        <f t="shared" ca="1" si="30"/>
        <v>#VALUE!</v>
      </c>
      <c r="AN106" s="225" t="e">
        <f t="shared" ca="1" si="30"/>
        <v>#VALUE!</v>
      </c>
      <c r="AO106" s="225" t="e">
        <f t="shared" ca="1" si="30"/>
        <v>#VALUE!</v>
      </c>
      <c r="AP106" s="225" t="e">
        <f t="shared" ca="1" si="30"/>
        <v>#VALUE!</v>
      </c>
    </row>
    <row r="107" spans="1:42">
      <c r="A107" s="61" t="str">
        <f>'[5]TS BYDem'!A46</f>
        <v>*</v>
      </c>
      <c r="B107" s="225" t="s">
        <v>288</v>
      </c>
      <c r="C107" s="225" t="s">
        <v>137</v>
      </c>
      <c r="D107" s="225" t="str">
        <f>'[5]TS BYDem'!D46</f>
        <v>IFAS</v>
      </c>
      <c r="E107" s="225" t="s">
        <v>137</v>
      </c>
      <c r="F107" s="225" t="s">
        <v>137</v>
      </c>
      <c r="G107" s="225" t="s">
        <v>137</v>
      </c>
      <c r="H107" s="225" t="s">
        <v>137</v>
      </c>
      <c r="I107" s="225">
        <v>0</v>
      </c>
      <c r="J107" s="225" t="str">
        <f>INDEX('[5]TS BYDem'!$J$10:$J$203,MATCH(D107,'[5]TS BYDem'!$D$10:$D$203,0))</f>
        <v/>
      </c>
      <c r="K107" s="225" t="e">
        <f t="shared" ca="1" si="33"/>
        <v>#VALUE!</v>
      </c>
      <c r="L107" s="225" t="e">
        <f t="shared" ca="1" si="33"/>
        <v>#VALUE!</v>
      </c>
      <c r="M107" s="225" t="e">
        <f t="shared" ca="1" si="33"/>
        <v>#VALUE!</v>
      </c>
      <c r="N107" s="225" t="e">
        <f t="shared" ca="1" si="33"/>
        <v>#VALUE!</v>
      </c>
      <c r="O107" s="225" t="e">
        <f t="shared" ca="1" si="33"/>
        <v>#VALUE!</v>
      </c>
      <c r="P107" s="225" t="e">
        <f t="shared" ca="1" si="33"/>
        <v>#VALUE!</v>
      </c>
      <c r="Q107" s="225" t="e">
        <f t="shared" ca="1" si="33"/>
        <v>#VALUE!</v>
      </c>
      <c r="R107" s="225" t="e">
        <f t="shared" ca="1" si="33"/>
        <v>#VALUE!</v>
      </c>
      <c r="S107" s="225" t="e">
        <f t="shared" ca="1" si="33"/>
        <v>#VALUE!</v>
      </c>
      <c r="T107" s="225" t="e">
        <f t="shared" ca="1" si="33"/>
        <v>#VALUE!</v>
      </c>
      <c r="U107" s="225" t="e">
        <f t="shared" ca="1" si="33"/>
        <v>#VALUE!</v>
      </c>
      <c r="V107" s="225" t="e">
        <f t="shared" ca="1" si="33"/>
        <v>#VALUE!</v>
      </c>
      <c r="W107" s="225" t="e">
        <f t="shared" ca="1" si="33"/>
        <v>#VALUE!</v>
      </c>
      <c r="X107" s="225" t="e">
        <f t="shared" ca="1" si="33"/>
        <v>#VALUE!</v>
      </c>
      <c r="Y107" s="225" t="e">
        <f t="shared" ca="1" si="33"/>
        <v>#VALUE!</v>
      </c>
      <c r="Z107" s="225" t="e">
        <f t="shared" ca="1" si="32"/>
        <v>#VALUE!</v>
      </c>
      <c r="AA107" s="225" t="e">
        <f t="shared" ca="1" si="32"/>
        <v>#VALUE!</v>
      </c>
      <c r="AB107" s="225" t="e">
        <f t="shared" ca="1" si="32"/>
        <v>#VALUE!</v>
      </c>
      <c r="AC107" s="225" t="e">
        <f t="shared" ca="1" si="32"/>
        <v>#VALUE!</v>
      </c>
      <c r="AD107" s="225" t="e">
        <f t="shared" ca="1" si="32"/>
        <v>#VALUE!</v>
      </c>
      <c r="AE107" s="225" t="e">
        <f t="shared" ca="1" si="32"/>
        <v>#VALUE!</v>
      </c>
      <c r="AF107" s="225" t="e">
        <f t="shared" ca="1" si="32"/>
        <v>#VALUE!</v>
      </c>
      <c r="AG107" s="225" t="e">
        <f t="shared" ca="1" si="32"/>
        <v>#VALUE!</v>
      </c>
      <c r="AH107" s="225" t="e">
        <f t="shared" ca="1" si="32"/>
        <v>#VALUE!</v>
      </c>
      <c r="AI107" s="225" t="e">
        <f t="shared" ca="1" si="30"/>
        <v>#VALUE!</v>
      </c>
      <c r="AJ107" s="225" t="e">
        <f t="shared" ca="1" si="30"/>
        <v>#VALUE!</v>
      </c>
      <c r="AK107" s="225" t="e">
        <f t="shared" ca="1" si="30"/>
        <v>#VALUE!</v>
      </c>
      <c r="AL107" s="225" t="e">
        <f t="shared" ca="1" si="30"/>
        <v>#VALUE!</v>
      </c>
      <c r="AM107" s="225" t="e">
        <f t="shared" ca="1" si="30"/>
        <v>#VALUE!</v>
      </c>
      <c r="AN107" s="225" t="e">
        <f t="shared" ca="1" si="30"/>
        <v>#VALUE!</v>
      </c>
      <c r="AO107" s="225" t="e">
        <f t="shared" ca="1" si="30"/>
        <v>#VALUE!</v>
      </c>
      <c r="AP107" s="225" t="e">
        <f t="shared" ca="1" si="30"/>
        <v>#VALUE!</v>
      </c>
    </row>
    <row r="108" spans="1:42">
      <c r="A108" s="61" t="str">
        <f>'[5]TS BYDem'!A47</f>
        <v>*</v>
      </c>
      <c r="B108" s="225" t="s">
        <v>288</v>
      </c>
      <c r="C108" s="225" t="s">
        <v>137</v>
      </c>
      <c r="D108" s="225">
        <f>'[5]TS BYDem'!D47</f>
        <v>0</v>
      </c>
      <c r="E108" s="225" t="s">
        <v>137</v>
      </c>
      <c r="F108" s="225" t="s">
        <v>137</v>
      </c>
      <c r="G108" s="225" t="s">
        <v>137</v>
      </c>
      <c r="H108" s="225" t="s">
        <v>137</v>
      </c>
      <c r="I108" s="225">
        <v>0</v>
      </c>
      <c r="J108" s="225" t="str">
        <f>INDEX('[5]TS BYDem'!$J$10:$J$203,MATCH(D108,'[5]TS BYDem'!$D$10:$D$203,0))</f>
        <v/>
      </c>
      <c r="K108" s="225" t="e">
        <f t="shared" ca="1" si="33"/>
        <v>#VALUE!</v>
      </c>
      <c r="L108" s="225" t="e">
        <f t="shared" ca="1" si="33"/>
        <v>#VALUE!</v>
      </c>
      <c r="M108" s="225" t="e">
        <f t="shared" ca="1" si="33"/>
        <v>#VALUE!</v>
      </c>
      <c r="N108" s="225" t="e">
        <f t="shared" ca="1" si="33"/>
        <v>#VALUE!</v>
      </c>
      <c r="O108" s="225" t="e">
        <f t="shared" ca="1" si="33"/>
        <v>#VALUE!</v>
      </c>
      <c r="P108" s="225" t="e">
        <f t="shared" ca="1" si="33"/>
        <v>#VALUE!</v>
      </c>
      <c r="Q108" s="225" t="e">
        <f t="shared" ca="1" si="33"/>
        <v>#VALUE!</v>
      </c>
      <c r="R108" s="225" t="e">
        <f t="shared" ca="1" si="33"/>
        <v>#VALUE!</v>
      </c>
      <c r="S108" s="225" t="e">
        <f t="shared" ca="1" si="33"/>
        <v>#VALUE!</v>
      </c>
      <c r="T108" s="225" t="e">
        <f t="shared" ca="1" si="33"/>
        <v>#VALUE!</v>
      </c>
      <c r="U108" s="225" t="e">
        <f t="shared" ca="1" si="33"/>
        <v>#VALUE!</v>
      </c>
      <c r="V108" s="225" t="e">
        <f t="shared" ca="1" si="33"/>
        <v>#VALUE!</v>
      </c>
      <c r="W108" s="225" t="e">
        <f t="shared" ca="1" si="33"/>
        <v>#VALUE!</v>
      </c>
      <c r="X108" s="225" t="e">
        <f t="shared" ca="1" si="33"/>
        <v>#VALUE!</v>
      </c>
      <c r="Y108" s="225" t="e">
        <f t="shared" ca="1" si="33"/>
        <v>#VALUE!</v>
      </c>
      <c r="Z108" s="225" t="e">
        <f t="shared" ca="1" si="32"/>
        <v>#VALUE!</v>
      </c>
      <c r="AA108" s="225" t="e">
        <f t="shared" ca="1" si="32"/>
        <v>#VALUE!</v>
      </c>
      <c r="AB108" s="225" t="e">
        <f t="shared" ca="1" si="32"/>
        <v>#VALUE!</v>
      </c>
      <c r="AC108" s="225" t="e">
        <f t="shared" ca="1" si="32"/>
        <v>#VALUE!</v>
      </c>
      <c r="AD108" s="225" t="e">
        <f t="shared" ca="1" si="32"/>
        <v>#VALUE!</v>
      </c>
      <c r="AE108" s="225" t="e">
        <f t="shared" ca="1" si="32"/>
        <v>#VALUE!</v>
      </c>
      <c r="AF108" s="225" t="e">
        <f t="shared" ca="1" si="32"/>
        <v>#VALUE!</v>
      </c>
      <c r="AG108" s="225" t="e">
        <f t="shared" ca="1" si="32"/>
        <v>#VALUE!</v>
      </c>
      <c r="AH108" s="225" t="e">
        <f t="shared" ca="1" si="32"/>
        <v>#VALUE!</v>
      </c>
      <c r="AI108" s="225" t="e">
        <f t="shared" ca="1" si="32"/>
        <v>#VALUE!</v>
      </c>
      <c r="AJ108" s="225" t="e">
        <f t="shared" ca="1" si="32"/>
        <v>#VALUE!</v>
      </c>
      <c r="AK108" s="225" t="e">
        <f t="shared" ca="1" si="32"/>
        <v>#VALUE!</v>
      </c>
      <c r="AL108" s="225" t="e">
        <f t="shared" ca="1" si="32"/>
        <v>#VALUE!</v>
      </c>
      <c r="AM108" s="225" t="e">
        <f t="shared" ca="1" si="32"/>
        <v>#VALUE!</v>
      </c>
      <c r="AN108" s="225" t="e">
        <f t="shared" ca="1" si="32"/>
        <v>#VALUE!</v>
      </c>
      <c r="AO108" s="225" t="e">
        <f t="shared" ca="1" si="32"/>
        <v>#VALUE!</v>
      </c>
      <c r="AP108" s="225" t="e">
        <f t="shared" ref="AP108:AP111" ca="1" si="34">AP$91/AO$91*AO108</f>
        <v>#VALUE!</v>
      </c>
    </row>
    <row r="109" spans="1:42">
      <c r="A109" s="61" t="str">
        <f>'[5]TS BYDem'!A48</f>
        <v>*</v>
      </c>
      <c r="B109" s="225" t="s">
        <v>288</v>
      </c>
      <c r="C109" s="225" t="s">
        <v>137</v>
      </c>
      <c r="D109" s="225" t="str">
        <f>'[5]TS BYDem'!D48</f>
        <v>IFAR</v>
      </c>
      <c r="E109" s="225" t="s">
        <v>137</v>
      </c>
      <c r="F109" s="225" t="s">
        <v>137</v>
      </c>
      <c r="G109" s="225" t="s">
        <v>137</v>
      </c>
      <c r="H109" s="225" t="s">
        <v>137</v>
      </c>
      <c r="I109" s="225">
        <v>0</v>
      </c>
      <c r="J109" s="225" t="str">
        <f>INDEX('[5]TS BYDem'!$J$10:$J$203,MATCH(D109,'[5]TS BYDem'!$D$10:$D$203,0))</f>
        <v/>
      </c>
      <c r="K109" s="225" t="e">
        <f t="shared" ca="1" si="33"/>
        <v>#VALUE!</v>
      </c>
      <c r="L109" s="225" t="e">
        <f t="shared" ca="1" si="33"/>
        <v>#VALUE!</v>
      </c>
      <c r="M109" s="225" t="e">
        <f t="shared" ca="1" si="33"/>
        <v>#VALUE!</v>
      </c>
      <c r="N109" s="225" t="e">
        <f t="shared" ca="1" si="33"/>
        <v>#VALUE!</v>
      </c>
      <c r="O109" s="225" t="e">
        <f t="shared" ca="1" si="33"/>
        <v>#VALUE!</v>
      </c>
      <c r="P109" s="225" t="e">
        <f t="shared" ca="1" si="33"/>
        <v>#VALUE!</v>
      </c>
      <c r="Q109" s="225" t="e">
        <f t="shared" ca="1" si="33"/>
        <v>#VALUE!</v>
      </c>
      <c r="R109" s="225" t="e">
        <f t="shared" ca="1" si="33"/>
        <v>#VALUE!</v>
      </c>
      <c r="S109" s="225" t="e">
        <f t="shared" ca="1" si="33"/>
        <v>#VALUE!</v>
      </c>
      <c r="T109" s="225" t="e">
        <f t="shared" ca="1" si="33"/>
        <v>#VALUE!</v>
      </c>
      <c r="U109" s="225" t="e">
        <f t="shared" ca="1" si="33"/>
        <v>#VALUE!</v>
      </c>
      <c r="V109" s="225" t="e">
        <f t="shared" ca="1" si="33"/>
        <v>#VALUE!</v>
      </c>
      <c r="W109" s="225" t="e">
        <f t="shared" ca="1" si="33"/>
        <v>#VALUE!</v>
      </c>
      <c r="X109" s="225" t="e">
        <f t="shared" ca="1" si="33"/>
        <v>#VALUE!</v>
      </c>
      <c r="Y109" s="225" t="e">
        <f t="shared" ca="1" si="33"/>
        <v>#VALUE!</v>
      </c>
      <c r="Z109" s="225" t="e">
        <f t="shared" ca="1" si="32"/>
        <v>#VALUE!</v>
      </c>
      <c r="AA109" s="225" t="e">
        <f t="shared" ca="1" si="32"/>
        <v>#VALUE!</v>
      </c>
      <c r="AB109" s="225" t="e">
        <f t="shared" ca="1" si="32"/>
        <v>#VALUE!</v>
      </c>
      <c r="AC109" s="225" t="e">
        <f t="shared" ca="1" si="32"/>
        <v>#VALUE!</v>
      </c>
      <c r="AD109" s="225" t="e">
        <f t="shared" ca="1" si="32"/>
        <v>#VALUE!</v>
      </c>
      <c r="AE109" s="225" t="e">
        <f t="shared" ca="1" si="32"/>
        <v>#VALUE!</v>
      </c>
      <c r="AF109" s="225" t="e">
        <f t="shared" ca="1" si="32"/>
        <v>#VALUE!</v>
      </c>
      <c r="AG109" s="225" t="e">
        <f t="shared" ca="1" si="32"/>
        <v>#VALUE!</v>
      </c>
      <c r="AH109" s="225" t="e">
        <f t="shared" ca="1" si="32"/>
        <v>#VALUE!</v>
      </c>
      <c r="AI109" s="225" t="e">
        <f t="shared" ca="1" si="32"/>
        <v>#VALUE!</v>
      </c>
      <c r="AJ109" s="225" t="e">
        <f t="shared" ca="1" si="32"/>
        <v>#VALUE!</v>
      </c>
      <c r="AK109" s="225" t="e">
        <f t="shared" ca="1" si="32"/>
        <v>#VALUE!</v>
      </c>
      <c r="AL109" s="225" t="e">
        <f t="shared" ca="1" si="32"/>
        <v>#VALUE!</v>
      </c>
      <c r="AM109" s="225" t="e">
        <f t="shared" ca="1" si="32"/>
        <v>#VALUE!</v>
      </c>
      <c r="AN109" s="225" t="e">
        <f t="shared" ca="1" si="32"/>
        <v>#VALUE!</v>
      </c>
      <c r="AO109" s="225" t="e">
        <f t="shared" ca="1" si="32"/>
        <v>#VALUE!</v>
      </c>
      <c r="AP109" s="225" t="e">
        <f t="shared" ca="1" si="34"/>
        <v>#VALUE!</v>
      </c>
    </row>
    <row r="110" spans="1:42">
      <c r="A110" s="61" t="str">
        <f>'[5]TS BYDem'!A49</f>
        <v>*</v>
      </c>
      <c r="B110" s="225" t="s">
        <v>288</v>
      </c>
      <c r="C110" s="225" t="s">
        <v>137</v>
      </c>
      <c r="D110" s="225" t="str">
        <f>'[5]TS BYDem'!D49</f>
        <v>Useful Energy Service</v>
      </c>
      <c r="E110" s="225" t="s">
        <v>137</v>
      </c>
      <c r="F110" s="225" t="s">
        <v>137</v>
      </c>
      <c r="G110" s="225" t="s">
        <v>137</v>
      </c>
      <c r="H110" s="225" t="s">
        <v>137</v>
      </c>
      <c r="I110" s="225">
        <v>0</v>
      </c>
      <c r="J110" s="225" t="str">
        <f>INDEX('[5]TS BYDem'!$J$10:$J$203,MATCH(D110,'[5]TS BYDem'!$D$10:$D$203,0))</f>
        <v/>
      </c>
      <c r="K110" s="225" t="e">
        <f t="shared" ca="1" si="33"/>
        <v>#VALUE!</v>
      </c>
      <c r="L110" s="225" t="e">
        <f t="shared" ca="1" si="33"/>
        <v>#VALUE!</v>
      </c>
      <c r="M110" s="225" t="e">
        <f t="shared" ca="1" si="33"/>
        <v>#VALUE!</v>
      </c>
      <c r="N110" s="225" t="e">
        <f t="shared" ca="1" si="33"/>
        <v>#VALUE!</v>
      </c>
      <c r="O110" s="225" t="e">
        <f t="shared" ca="1" si="33"/>
        <v>#VALUE!</v>
      </c>
      <c r="P110" s="225" t="e">
        <f t="shared" ca="1" si="33"/>
        <v>#VALUE!</v>
      </c>
      <c r="Q110" s="225" t="e">
        <f t="shared" ca="1" si="33"/>
        <v>#VALUE!</v>
      </c>
      <c r="R110" s="225" t="e">
        <f t="shared" ca="1" si="33"/>
        <v>#VALUE!</v>
      </c>
      <c r="S110" s="225" t="e">
        <f t="shared" ca="1" si="33"/>
        <v>#VALUE!</v>
      </c>
      <c r="T110" s="225" t="e">
        <f t="shared" ca="1" si="33"/>
        <v>#VALUE!</v>
      </c>
      <c r="U110" s="225" t="e">
        <f t="shared" ca="1" si="33"/>
        <v>#VALUE!</v>
      </c>
      <c r="V110" s="225" t="e">
        <f t="shared" ca="1" si="33"/>
        <v>#VALUE!</v>
      </c>
      <c r="W110" s="225" t="e">
        <f t="shared" ca="1" si="33"/>
        <v>#VALUE!</v>
      </c>
      <c r="X110" s="225" t="e">
        <f t="shared" ca="1" si="33"/>
        <v>#VALUE!</v>
      </c>
      <c r="Y110" s="225" t="e">
        <f t="shared" ca="1" si="33"/>
        <v>#VALUE!</v>
      </c>
      <c r="Z110" s="225" t="e">
        <f t="shared" ca="1" si="32"/>
        <v>#VALUE!</v>
      </c>
      <c r="AA110" s="225" t="e">
        <f t="shared" ca="1" si="32"/>
        <v>#VALUE!</v>
      </c>
      <c r="AB110" s="225" t="e">
        <f t="shared" ca="1" si="32"/>
        <v>#VALUE!</v>
      </c>
      <c r="AC110" s="225" t="e">
        <f t="shared" ca="1" si="32"/>
        <v>#VALUE!</v>
      </c>
      <c r="AD110" s="225" t="e">
        <f t="shared" ca="1" si="32"/>
        <v>#VALUE!</v>
      </c>
      <c r="AE110" s="225" t="e">
        <f t="shared" ca="1" si="32"/>
        <v>#VALUE!</v>
      </c>
      <c r="AF110" s="225" t="e">
        <f t="shared" ca="1" si="32"/>
        <v>#VALUE!</v>
      </c>
      <c r="AG110" s="225" t="e">
        <f t="shared" ca="1" si="32"/>
        <v>#VALUE!</v>
      </c>
      <c r="AH110" s="225" t="e">
        <f t="shared" ca="1" si="32"/>
        <v>#VALUE!</v>
      </c>
      <c r="AI110" s="225" t="e">
        <f t="shared" ca="1" si="32"/>
        <v>#VALUE!</v>
      </c>
      <c r="AJ110" s="225" t="e">
        <f t="shared" ca="1" si="32"/>
        <v>#VALUE!</v>
      </c>
      <c r="AK110" s="225" t="e">
        <f t="shared" ca="1" si="32"/>
        <v>#VALUE!</v>
      </c>
      <c r="AL110" s="225" t="e">
        <f t="shared" ca="1" si="32"/>
        <v>#VALUE!</v>
      </c>
      <c r="AM110" s="225" t="e">
        <f t="shared" ca="1" si="32"/>
        <v>#VALUE!</v>
      </c>
      <c r="AN110" s="225" t="e">
        <f t="shared" ca="1" si="32"/>
        <v>#VALUE!</v>
      </c>
      <c r="AO110" s="225" t="e">
        <f t="shared" ca="1" si="32"/>
        <v>#VALUE!</v>
      </c>
      <c r="AP110" s="225" t="e">
        <f t="shared" ca="1" si="34"/>
        <v>#VALUE!</v>
      </c>
    </row>
    <row r="111" spans="1:42">
      <c r="A111" s="61" t="str">
        <f>'[5]TS BYDem'!A50</f>
        <v>*</v>
      </c>
      <c r="B111" s="225" t="s">
        <v>288</v>
      </c>
      <c r="C111" s="225" t="s">
        <v>137</v>
      </c>
      <c r="D111" s="225">
        <f>'[5]TS BYDem'!D50</f>
        <v>0</v>
      </c>
      <c r="E111" s="225" t="s">
        <v>137</v>
      </c>
      <c r="F111" s="225" t="s">
        <v>137</v>
      </c>
      <c r="G111" s="225" t="s">
        <v>137</v>
      </c>
      <c r="H111" s="225" t="s">
        <v>137</v>
      </c>
      <c r="I111" s="225">
        <v>0</v>
      </c>
      <c r="J111" s="225" t="str">
        <f>INDEX('[5]TS BYDem'!$J$10:$J$203,MATCH(D111,'[5]TS BYDem'!$D$10:$D$203,0))</f>
        <v/>
      </c>
      <c r="K111" s="225" t="e">
        <f t="shared" ca="1" si="33"/>
        <v>#VALUE!</v>
      </c>
      <c r="L111" s="225" t="e">
        <f t="shared" ca="1" si="33"/>
        <v>#VALUE!</v>
      </c>
      <c r="M111" s="225" t="e">
        <f t="shared" ca="1" si="33"/>
        <v>#VALUE!</v>
      </c>
      <c r="N111" s="225" t="e">
        <f t="shared" ca="1" si="33"/>
        <v>#VALUE!</v>
      </c>
      <c r="O111" s="225" t="e">
        <f t="shared" ca="1" si="33"/>
        <v>#VALUE!</v>
      </c>
      <c r="P111" s="225" t="e">
        <f t="shared" ca="1" si="33"/>
        <v>#VALUE!</v>
      </c>
      <c r="Q111" s="225" t="e">
        <f t="shared" ca="1" si="33"/>
        <v>#VALUE!</v>
      </c>
      <c r="R111" s="225" t="e">
        <f t="shared" ca="1" si="33"/>
        <v>#VALUE!</v>
      </c>
      <c r="S111" s="225" t="e">
        <f t="shared" ca="1" si="33"/>
        <v>#VALUE!</v>
      </c>
      <c r="T111" s="225" t="e">
        <f t="shared" ca="1" si="33"/>
        <v>#VALUE!</v>
      </c>
      <c r="U111" s="225" t="e">
        <f t="shared" ca="1" si="33"/>
        <v>#VALUE!</v>
      </c>
      <c r="V111" s="225" t="e">
        <f t="shared" ca="1" si="33"/>
        <v>#VALUE!</v>
      </c>
      <c r="W111" s="225" t="e">
        <f t="shared" ca="1" si="33"/>
        <v>#VALUE!</v>
      </c>
      <c r="X111" s="225" t="e">
        <f t="shared" ca="1" si="33"/>
        <v>#VALUE!</v>
      </c>
      <c r="Y111" s="225" t="e">
        <f t="shared" ca="1" si="33"/>
        <v>#VALUE!</v>
      </c>
      <c r="Z111" s="225" t="e">
        <f t="shared" ca="1" si="32"/>
        <v>#VALUE!</v>
      </c>
      <c r="AA111" s="225" t="e">
        <f t="shared" ca="1" si="32"/>
        <v>#VALUE!</v>
      </c>
      <c r="AB111" s="225" t="e">
        <f t="shared" ca="1" si="32"/>
        <v>#VALUE!</v>
      </c>
      <c r="AC111" s="225" t="e">
        <f t="shared" ca="1" si="32"/>
        <v>#VALUE!</v>
      </c>
      <c r="AD111" s="225" t="e">
        <f t="shared" ca="1" si="32"/>
        <v>#VALUE!</v>
      </c>
      <c r="AE111" s="225" t="e">
        <f t="shared" ca="1" si="32"/>
        <v>#VALUE!</v>
      </c>
      <c r="AF111" s="225" t="e">
        <f t="shared" ca="1" si="32"/>
        <v>#VALUE!</v>
      </c>
      <c r="AG111" s="225" t="e">
        <f t="shared" ca="1" si="32"/>
        <v>#VALUE!</v>
      </c>
      <c r="AH111" s="225" t="e">
        <f t="shared" ca="1" si="32"/>
        <v>#VALUE!</v>
      </c>
      <c r="AI111" s="225" t="e">
        <f t="shared" ca="1" si="32"/>
        <v>#VALUE!</v>
      </c>
      <c r="AJ111" s="225" t="e">
        <f t="shared" ca="1" si="32"/>
        <v>#VALUE!</v>
      </c>
      <c r="AK111" s="225" t="e">
        <f t="shared" ca="1" si="32"/>
        <v>#VALUE!</v>
      </c>
      <c r="AL111" s="225" t="e">
        <f t="shared" ca="1" si="32"/>
        <v>#VALUE!</v>
      </c>
      <c r="AM111" s="225" t="e">
        <f t="shared" ca="1" si="32"/>
        <v>#VALUE!</v>
      </c>
      <c r="AN111" s="225" t="e">
        <f t="shared" ca="1" si="32"/>
        <v>#VALUE!</v>
      </c>
      <c r="AO111" s="225" t="e">
        <f t="shared" ca="1" si="32"/>
        <v>#VALUE!</v>
      </c>
      <c r="AP111" s="225" t="e">
        <f t="shared" ca="1" si="34"/>
        <v>#VALUE!</v>
      </c>
    </row>
    <row r="112" spans="1:42" s="5" customFormat="1">
      <c r="A112" s="61" t="str">
        <f>'[5]TS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61" t="str">
        <f>'[5]TS BYDem'!A52</f>
        <v>*</v>
      </c>
      <c r="B113" s="225" t="s">
        <v>288</v>
      </c>
      <c r="C113" s="225" t="s">
        <v>137</v>
      </c>
      <c r="D113" s="225" t="str">
        <f>'[5]TS BYDem'!D52</f>
        <v>IISK</v>
      </c>
      <c r="E113" s="225" t="s">
        <v>137</v>
      </c>
      <c r="F113" s="225" t="s">
        <v>137</v>
      </c>
      <c r="G113" s="225" t="s">
        <v>137</v>
      </c>
      <c r="H113" s="225" t="s">
        <v>137</v>
      </c>
      <c r="I113" s="225">
        <v>0</v>
      </c>
      <c r="J113" s="225" t="str">
        <f>INDEX('[5]TS BYDem'!$J$10:$J$203,MATCH(D113,'[5]TS BYDem'!$D$10:$D$203,0))</f>
        <v/>
      </c>
      <c r="K113" s="225" t="e">
        <f t="shared" ref="K113:Z128" ca="1" si="36">K$112/J$112*J113</f>
        <v>#VALUE!</v>
      </c>
      <c r="L113" s="225" t="e">
        <f t="shared" ca="1" si="36"/>
        <v>#VALUE!</v>
      </c>
      <c r="M113" s="225" t="e">
        <f t="shared" ca="1" si="36"/>
        <v>#VALUE!</v>
      </c>
      <c r="N113" s="225" t="e">
        <f t="shared" ca="1" si="36"/>
        <v>#VALUE!</v>
      </c>
      <c r="O113" s="225" t="e">
        <f t="shared" ca="1" si="36"/>
        <v>#VALUE!</v>
      </c>
      <c r="P113" s="225" t="e">
        <f t="shared" ca="1" si="36"/>
        <v>#VALUE!</v>
      </c>
      <c r="Q113" s="225" t="e">
        <f t="shared" ca="1" si="36"/>
        <v>#VALUE!</v>
      </c>
      <c r="R113" s="225" t="e">
        <f t="shared" ca="1" si="36"/>
        <v>#VALUE!</v>
      </c>
      <c r="S113" s="225" t="e">
        <f t="shared" ca="1" si="36"/>
        <v>#VALUE!</v>
      </c>
      <c r="T113" s="225" t="e">
        <f t="shared" ca="1" si="36"/>
        <v>#VALUE!</v>
      </c>
      <c r="U113" s="225" t="e">
        <f t="shared" ca="1" si="36"/>
        <v>#VALUE!</v>
      </c>
      <c r="V113" s="225" t="e">
        <f t="shared" ca="1" si="36"/>
        <v>#VALUE!</v>
      </c>
      <c r="W113" s="225" t="e">
        <f t="shared" ca="1" si="36"/>
        <v>#VALUE!</v>
      </c>
      <c r="X113" s="225" t="e">
        <f t="shared" ca="1" si="36"/>
        <v>#VALUE!</v>
      </c>
      <c r="Y113" s="225" t="e">
        <f t="shared" ca="1" si="36"/>
        <v>#VALUE!</v>
      </c>
      <c r="Z113" s="225" t="e">
        <f t="shared" ca="1" si="36"/>
        <v>#VALUE!</v>
      </c>
      <c r="AA113" s="225" t="e">
        <f t="shared" ref="AA113:AP128" ca="1" si="37">AA$112/Z$112*Z113</f>
        <v>#VALUE!</v>
      </c>
      <c r="AB113" s="225" t="e">
        <f t="shared" ca="1" si="37"/>
        <v>#VALUE!</v>
      </c>
      <c r="AC113" s="225" t="e">
        <f t="shared" ca="1" si="37"/>
        <v>#VALUE!</v>
      </c>
      <c r="AD113" s="225" t="e">
        <f t="shared" ca="1" si="37"/>
        <v>#VALUE!</v>
      </c>
      <c r="AE113" s="225" t="e">
        <f t="shared" ca="1" si="37"/>
        <v>#VALUE!</v>
      </c>
      <c r="AF113" s="225" t="e">
        <f t="shared" ca="1" si="37"/>
        <v>#VALUE!</v>
      </c>
      <c r="AG113" s="225" t="e">
        <f t="shared" ca="1" si="37"/>
        <v>#VALUE!</v>
      </c>
      <c r="AH113" s="225" t="e">
        <f t="shared" ca="1" si="37"/>
        <v>#VALUE!</v>
      </c>
      <c r="AI113" s="225" t="e">
        <f t="shared" ca="1" si="37"/>
        <v>#VALUE!</v>
      </c>
      <c r="AJ113" s="225" t="e">
        <f t="shared" ca="1" si="37"/>
        <v>#VALUE!</v>
      </c>
      <c r="AK113" s="225" t="e">
        <f t="shared" ca="1" si="37"/>
        <v>#VALUE!</v>
      </c>
      <c r="AL113" s="225" t="e">
        <f t="shared" ca="1" si="37"/>
        <v>#VALUE!</v>
      </c>
      <c r="AM113" s="225" t="e">
        <f t="shared" ca="1" si="37"/>
        <v>#VALUE!</v>
      </c>
      <c r="AN113" s="225" t="e">
        <f t="shared" ca="1" si="37"/>
        <v>#VALUE!</v>
      </c>
      <c r="AO113" s="225" t="e">
        <f t="shared" ca="1" si="37"/>
        <v>#VALUE!</v>
      </c>
      <c r="AP113" s="225" t="e">
        <f t="shared" ca="1" si="37"/>
        <v>#VALUE!</v>
      </c>
    </row>
    <row r="114" spans="1:42">
      <c r="A114" s="61" t="str">
        <f>'[5]TS BYDem'!A53</f>
        <v>*</v>
      </c>
      <c r="B114" s="225" t="s">
        <v>288</v>
      </c>
      <c r="C114" s="225" t="s">
        <v>137</v>
      </c>
      <c r="D114" s="225" t="str">
        <f>'[5]TS BYDem'!D53</f>
        <v>IISA</v>
      </c>
      <c r="E114" s="225" t="s">
        <v>137</v>
      </c>
      <c r="F114" s="225" t="s">
        <v>137</v>
      </c>
      <c r="G114" s="225" t="s">
        <v>137</v>
      </c>
      <c r="H114" s="225" t="s">
        <v>137</v>
      </c>
      <c r="I114" s="225">
        <v>0</v>
      </c>
      <c r="J114" s="225" t="str">
        <f>INDEX('[5]TS BYDem'!$J$10:$J$203,MATCH(D114,'[5]TS BYDem'!$D$10:$D$203,0))</f>
        <v/>
      </c>
      <c r="K114" s="225" t="e">
        <f t="shared" ca="1" si="36"/>
        <v>#VALUE!</v>
      </c>
      <c r="L114" s="225" t="e">
        <f t="shared" ca="1" si="36"/>
        <v>#VALUE!</v>
      </c>
      <c r="M114" s="225" t="e">
        <f t="shared" ca="1" si="36"/>
        <v>#VALUE!</v>
      </c>
      <c r="N114" s="225" t="e">
        <f t="shared" ca="1" si="36"/>
        <v>#VALUE!</v>
      </c>
      <c r="O114" s="225" t="e">
        <f t="shared" ca="1" si="36"/>
        <v>#VALUE!</v>
      </c>
      <c r="P114" s="225" t="e">
        <f t="shared" ca="1" si="36"/>
        <v>#VALUE!</v>
      </c>
      <c r="Q114" s="225" t="e">
        <f t="shared" ca="1" si="36"/>
        <v>#VALUE!</v>
      </c>
      <c r="R114" s="225" t="e">
        <f t="shared" ca="1" si="36"/>
        <v>#VALUE!</v>
      </c>
      <c r="S114" s="225" t="e">
        <f t="shared" ca="1" si="36"/>
        <v>#VALUE!</v>
      </c>
      <c r="T114" s="225" t="e">
        <f t="shared" ca="1" si="36"/>
        <v>#VALUE!</v>
      </c>
      <c r="U114" s="225" t="e">
        <f t="shared" ca="1" si="36"/>
        <v>#VALUE!</v>
      </c>
      <c r="V114" s="225" t="e">
        <f t="shared" ca="1" si="36"/>
        <v>#VALUE!</v>
      </c>
      <c r="W114" s="225" t="e">
        <f t="shared" ca="1" si="36"/>
        <v>#VALUE!</v>
      </c>
      <c r="X114" s="225" t="e">
        <f t="shared" ca="1" si="36"/>
        <v>#VALUE!</v>
      </c>
      <c r="Y114" s="225" t="e">
        <f t="shared" ca="1" si="36"/>
        <v>#VALUE!</v>
      </c>
      <c r="Z114" s="225" t="e">
        <f t="shared" ca="1" si="36"/>
        <v>#VALUE!</v>
      </c>
      <c r="AA114" s="225" t="e">
        <f t="shared" ca="1" si="37"/>
        <v>#VALUE!</v>
      </c>
      <c r="AB114" s="225" t="e">
        <f t="shared" ca="1" si="37"/>
        <v>#VALUE!</v>
      </c>
      <c r="AC114" s="225" t="e">
        <f t="shared" ca="1" si="37"/>
        <v>#VALUE!</v>
      </c>
      <c r="AD114" s="225" t="e">
        <f t="shared" ca="1" si="37"/>
        <v>#VALUE!</v>
      </c>
      <c r="AE114" s="225" t="e">
        <f t="shared" ca="1" si="37"/>
        <v>#VALUE!</v>
      </c>
      <c r="AF114" s="225" t="e">
        <f t="shared" ca="1" si="37"/>
        <v>#VALUE!</v>
      </c>
      <c r="AG114" s="225" t="e">
        <f t="shared" ca="1" si="37"/>
        <v>#VALUE!</v>
      </c>
      <c r="AH114" s="225" t="e">
        <f t="shared" ca="1" si="37"/>
        <v>#VALUE!</v>
      </c>
      <c r="AI114" s="225" t="e">
        <f t="shared" ca="1" si="37"/>
        <v>#VALUE!</v>
      </c>
      <c r="AJ114" s="225" t="e">
        <f t="shared" ca="1" si="37"/>
        <v>#VALUE!</v>
      </c>
      <c r="AK114" s="225" t="e">
        <f t="shared" ca="1" si="37"/>
        <v>#VALUE!</v>
      </c>
      <c r="AL114" s="225" t="e">
        <f t="shared" ca="1" si="37"/>
        <v>#VALUE!</v>
      </c>
      <c r="AM114" s="225" t="e">
        <f t="shared" ca="1" si="37"/>
        <v>#VALUE!</v>
      </c>
      <c r="AN114" s="225" t="e">
        <f t="shared" ca="1" si="37"/>
        <v>#VALUE!</v>
      </c>
      <c r="AO114" s="225" t="e">
        <f t="shared" ca="1" si="37"/>
        <v>#VALUE!</v>
      </c>
      <c r="AP114" s="225" t="e">
        <f t="shared" ca="1" si="37"/>
        <v>#VALUE!</v>
      </c>
    </row>
    <row r="115" spans="1:42">
      <c r="A115" s="61" t="str">
        <f>'[5]TS BYDem'!A54</f>
        <v>*</v>
      </c>
      <c r="B115" s="225" t="s">
        <v>288</v>
      </c>
      <c r="C115" s="225" t="s">
        <v>137</v>
      </c>
      <c r="D115" s="225" t="str">
        <f>'[5]TS BYDem'!D54</f>
        <v>IISL</v>
      </c>
      <c r="E115" s="225" t="s">
        <v>137</v>
      </c>
      <c r="F115" s="225" t="s">
        <v>137</v>
      </c>
      <c r="G115" s="225" t="s">
        <v>137</v>
      </c>
      <c r="H115" s="225" t="s">
        <v>137</v>
      </c>
      <c r="I115" s="225">
        <v>0</v>
      </c>
      <c r="J115" s="225" t="str">
        <f>INDEX('[5]TS BYDem'!$J$10:$J$203,MATCH(D115,'[5]TS BYDem'!$D$10:$D$203,0))</f>
        <v/>
      </c>
      <c r="K115" s="225" t="e">
        <f t="shared" ca="1" si="36"/>
        <v>#VALUE!</v>
      </c>
      <c r="L115" s="225" t="e">
        <f t="shared" ca="1" si="36"/>
        <v>#VALUE!</v>
      </c>
      <c r="M115" s="225" t="e">
        <f t="shared" ca="1" si="36"/>
        <v>#VALUE!</v>
      </c>
      <c r="N115" s="225" t="e">
        <f t="shared" ca="1" si="36"/>
        <v>#VALUE!</v>
      </c>
      <c r="O115" s="225" t="e">
        <f t="shared" ca="1" si="36"/>
        <v>#VALUE!</v>
      </c>
      <c r="P115" s="225" t="e">
        <f t="shared" ca="1" si="36"/>
        <v>#VALUE!</v>
      </c>
      <c r="Q115" s="225" t="e">
        <f t="shared" ca="1" si="36"/>
        <v>#VALUE!</v>
      </c>
      <c r="R115" s="225" t="e">
        <f t="shared" ca="1" si="36"/>
        <v>#VALUE!</v>
      </c>
      <c r="S115" s="225" t="e">
        <f t="shared" ca="1" si="36"/>
        <v>#VALUE!</v>
      </c>
      <c r="T115" s="225" t="e">
        <f t="shared" ca="1" si="36"/>
        <v>#VALUE!</v>
      </c>
      <c r="U115" s="225" t="e">
        <f t="shared" ca="1" si="36"/>
        <v>#VALUE!</v>
      </c>
      <c r="V115" s="225" t="e">
        <f t="shared" ca="1" si="36"/>
        <v>#VALUE!</v>
      </c>
      <c r="W115" s="225" t="e">
        <f t="shared" ca="1" si="36"/>
        <v>#VALUE!</v>
      </c>
      <c r="X115" s="225" t="e">
        <f t="shared" ca="1" si="36"/>
        <v>#VALUE!</v>
      </c>
      <c r="Y115" s="225" t="e">
        <f t="shared" ca="1" si="36"/>
        <v>#VALUE!</v>
      </c>
      <c r="Z115" s="225" t="e">
        <f t="shared" ca="1" si="36"/>
        <v>#VALUE!</v>
      </c>
      <c r="AA115" s="225" t="e">
        <f t="shared" ca="1" si="37"/>
        <v>#VALUE!</v>
      </c>
      <c r="AB115" s="225" t="e">
        <f t="shared" ca="1" si="37"/>
        <v>#VALUE!</v>
      </c>
      <c r="AC115" s="225" t="e">
        <f t="shared" ca="1" si="37"/>
        <v>#VALUE!</v>
      </c>
      <c r="AD115" s="225" t="e">
        <f t="shared" ca="1" si="37"/>
        <v>#VALUE!</v>
      </c>
      <c r="AE115" s="225" t="e">
        <f t="shared" ca="1" si="37"/>
        <v>#VALUE!</v>
      </c>
      <c r="AF115" s="225" t="e">
        <f t="shared" ca="1" si="37"/>
        <v>#VALUE!</v>
      </c>
      <c r="AG115" s="225" t="e">
        <f t="shared" ca="1" si="37"/>
        <v>#VALUE!</v>
      </c>
      <c r="AH115" s="225" t="e">
        <f t="shared" ca="1" si="37"/>
        <v>#VALUE!</v>
      </c>
      <c r="AI115" s="225" t="e">
        <f t="shared" ca="1" si="37"/>
        <v>#VALUE!</v>
      </c>
      <c r="AJ115" s="225" t="e">
        <f t="shared" ca="1" si="37"/>
        <v>#VALUE!</v>
      </c>
      <c r="AK115" s="225" t="e">
        <f t="shared" ca="1" si="37"/>
        <v>#VALUE!</v>
      </c>
      <c r="AL115" s="225" t="e">
        <f t="shared" ca="1" si="37"/>
        <v>#VALUE!</v>
      </c>
      <c r="AM115" s="225" t="e">
        <f t="shared" ca="1" si="37"/>
        <v>#VALUE!</v>
      </c>
      <c r="AN115" s="225" t="e">
        <f t="shared" ca="1" si="37"/>
        <v>#VALUE!</v>
      </c>
      <c r="AO115" s="225" t="e">
        <f t="shared" ca="1" si="37"/>
        <v>#VALUE!</v>
      </c>
      <c r="AP115" s="225" t="e">
        <f t="shared" ca="1" si="37"/>
        <v>#VALUE!</v>
      </c>
    </row>
    <row r="116" spans="1:42">
      <c r="A116" s="61" t="str">
        <f>'[5]TS BYDem'!A55</f>
        <v>*</v>
      </c>
      <c r="B116" s="225" t="s">
        <v>288</v>
      </c>
      <c r="C116" s="225" t="s">
        <v>137</v>
      </c>
      <c r="D116" s="225" t="str">
        <f>'[5]TS BYDem'!D55</f>
        <v>IISC</v>
      </c>
      <c r="E116" s="225" t="s">
        <v>137</v>
      </c>
      <c r="F116" s="225" t="s">
        <v>137</v>
      </c>
      <c r="G116" s="225" t="s">
        <v>137</v>
      </c>
      <c r="H116" s="225" t="s">
        <v>137</v>
      </c>
      <c r="I116" s="225">
        <v>0</v>
      </c>
      <c r="J116" s="225" t="str">
        <f>INDEX('[5]TS BYDem'!$J$10:$J$203,MATCH(D116,'[5]TS BYDem'!$D$10:$D$203,0))</f>
        <v/>
      </c>
      <c r="K116" s="225" t="e">
        <f t="shared" ca="1" si="36"/>
        <v>#VALUE!</v>
      </c>
      <c r="L116" s="225" t="e">
        <f t="shared" ca="1" si="36"/>
        <v>#VALUE!</v>
      </c>
      <c r="M116" s="225" t="e">
        <f t="shared" ca="1" si="36"/>
        <v>#VALUE!</v>
      </c>
      <c r="N116" s="225" t="e">
        <f t="shared" ca="1" si="36"/>
        <v>#VALUE!</v>
      </c>
      <c r="O116" s="225" t="e">
        <f t="shared" ca="1" si="36"/>
        <v>#VALUE!</v>
      </c>
      <c r="P116" s="225" t="e">
        <f t="shared" ca="1" si="36"/>
        <v>#VALUE!</v>
      </c>
      <c r="Q116" s="225" t="e">
        <f t="shared" ca="1" si="36"/>
        <v>#VALUE!</v>
      </c>
      <c r="R116" s="225" t="e">
        <f t="shared" ca="1" si="36"/>
        <v>#VALUE!</v>
      </c>
      <c r="S116" s="225" t="e">
        <f t="shared" ca="1" si="36"/>
        <v>#VALUE!</v>
      </c>
      <c r="T116" s="225" t="e">
        <f t="shared" ca="1" si="36"/>
        <v>#VALUE!</v>
      </c>
      <c r="U116" s="225" t="e">
        <f t="shared" ca="1" si="36"/>
        <v>#VALUE!</v>
      </c>
      <c r="V116" s="225" t="e">
        <f t="shared" ca="1" si="36"/>
        <v>#VALUE!</v>
      </c>
      <c r="W116" s="225" t="e">
        <f t="shared" ca="1" si="36"/>
        <v>#VALUE!</v>
      </c>
      <c r="X116" s="225" t="e">
        <f t="shared" ca="1" si="36"/>
        <v>#VALUE!</v>
      </c>
      <c r="Y116" s="225" t="e">
        <f t="shared" ca="1" si="36"/>
        <v>#VALUE!</v>
      </c>
      <c r="Z116" s="225" t="e">
        <f t="shared" ca="1" si="36"/>
        <v>#VALUE!</v>
      </c>
      <c r="AA116" s="225" t="e">
        <f t="shared" ca="1" si="37"/>
        <v>#VALUE!</v>
      </c>
      <c r="AB116" s="225" t="e">
        <f t="shared" ca="1" si="37"/>
        <v>#VALUE!</v>
      </c>
      <c r="AC116" s="225" t="e">
        <f t="shared" ca="1" si="37"/>
        <v>#VALUE!</v>
      </c>
      <c r="AD116" s="225" t="e">
        <f t="shared" ca="1" si="37"/>
        <v>#VALUE!</v>
      </c>
      <c r="AE116" s="225" t="e">
        <f t="shared" ca="1" si="37"/>
        <v>#VALUE!</v>
      </c>
      <c r="AF116" s="225" t="e">
        <f t="shared" ca="1" si="37"/>
        <v>#VALUE!</v>
      </c>
      <c r="AG116" s="225" t="e">
        <f t="shared" ca="1" si="37"/>
        <v>#VALUE!</v>
      </c>
      <c r="AH116" s="225" t="e">
        <f t="shared" ca="1" si="37"/>
        <v>#VALUE!</v>
      </c>
      <c r="AI116" s="225" t="e">
        <f t="shared" ca="1" si="37"/>
        <v>#VALUE!</v>
      </c>
      <c r="AJ116" s="225" t="e">
        <f t="shared" ca="1" si="37"/>
        <v>#VALUE!</v>
      </c>
      <c r="AK116" s="225" t="e">
        <f t="shared" ca="1" si="37"/>
        <v>#VALUE!</v>
      </c>
      <c r="AL116" s="225" t="e">
        <f t="shared" ca="1" si="37"/>
        <v>#VALUE!</v>
      </c>
      <c r="AM116" s="225" t="e">
        <f t="shared" ca="1" si="37"/>
        <v>#VALUE!</v>
      </c>
      <c r="AN116" s="225" t="e">
        <f t="shared" ca="1" si="37"/>
        <v>#VALUE!</v>
      </c>
      <c r="AO116" s="225" t="e">
        <f t="shared" ca="1" si="37"/>
        <v>#VALUE!</v>
      </c>
      <c r="AP116" s="225" t="e">
        <f t="shared" ca="1" si="37"/>
        <v>#VALUE!</v>
      </c>
    </row>
    <row r="117" spans="1:42">
      <c r="A117" s="61" t="str">
        <f>'[5]TS BYDem'!A56</f>
        <v>*</v>
      </c>
      <c r="B117" s="225" t="s">
        <v>288</v>
      </c>
      <c r="C117" s="225" t="s">
        <v>137</v>
      </c>
      <c r="D117" s="225" t="str">
        <f>'[5]TS BYDem'!D56</f>
        <v>IISH</v>
      </c>
      <c r="E117" s="225" t="s">
        <v>137</v>
      </c>
      <c r="F117" s="225" t="s">
        <v>137</v>
      </c>
      <c r="G117" s="225" t="s">
        <v>137</v>
      </c>
      <c r="H117" s="225" t="s">
        <v>137</v>
      </c>
      <c r="I117" s="225">
        <v>0</v>
      </c>
      <c r="J117" s="225" t="str">
        <f>INDEX('[5]TS BYDem'!$J$10:$J$203,MATCH(D117,'[5]TS BYDem'!$D$10:$D$203,0))</f>
        <v/>
      </c>
      <c r="K117" s="225" t="e">
        <f t="shared" ca="1" si="36"/>
        <v>#VALUE!</v>
      </c>
      <c r="L117" s="225" t="e">
        <f t="shared" ca="1" si="36"/>
        <v>#VALUE!</v>
      </c>
      <c r="M117" s="225" t="e">
        <f t="shared" ca="1" si="36"/>
        <v>#VALUE!</v>
      </c>
      <c r="N117" s="225" t="e">
        <f t="shared" ca="1" si="36"/>
        <v>#VALUE!</v>
      </c>
      <c r="O117" s="225" t="e">
        <f t="shared" ca="1" si="36"/>
        <v>#VALUE!</v>
      </c>
      <c r="P117" s="225" t="e">
        <f t="shared" ca="1" si="36"/>
        <v>#VALUE!</v>
      </c>
      <c r="Q117" s="225" t="e">
        <f t="shared" ca="1" si="36"/>
        <v>#VALUE!</v>
      </c>
      <c r="R117" s="225" t="e">
        <f t="shared" ca="1" si="36"/>
        <v>#VALUE!</v>
      </c>
      <c r="S117" s="225" t="e">
        <f t="shared" ca="1" si="36"/>
        <v>#VALUE!</v>
      </c>
      <c r="T117" s="225" t="e">
        <f t="shared" ca="1" si="36"/>
        <v>#VALUE!</v>
      </c>
      <c r="U117" s="225" t="e">
        <f t="shared" ca="1" si="36"/>
        <v>#VALUE!</v>
      </c>
      <c r="V117" s="225" t="e">
        <f t="shared" ca="1" si="36"/>
        <v>#VALUE!</v>
      </c>
      <c r="W117" s="225" t="e">
        <f t="shared" ca="1" si="36"/>
        <v>#VALUE!</v>
      </c>
      <c r="X117" s="225" t="e">
        <f t="shared" ca="1" si="36"/>
        <v>#VALUE!</v>
      </c>
      <c r="Y117" s="225" t="e">
        <f t="shared" ca="1" si="36"/>
        <v>#VALUE!</v>
      </c>
      <c r="Z117" s="225" t="e">
        <f t="shared" ca="1" si="36"/>
        <v>#VALUE!</v>
      </c>
      <c r="AA117" s="225" t="e">
        <f t="shared" ca="1" si="37"/>
        <v>#VALUE!</v>
      </c>
      <c r="AB117" s="225" t="e">
        <f t="shared" ca="1" si="37"/>
        <v>#VALUE!</v>
      </c>
      <c r="AC117" s="225" t="e">
        <f t="shared" ca="1" si="37"/>
        <v>#VALUE!</v>
      </c>
      <c r="AD117" s="225" t="e">
        <f t="shared" ca="1" si="37"/>
        <v>#VALUE!</v>
      </c>
      <c r="AE117" s="225" t="e">
        <f t="shared" ca="1" si="37"/>
        <v>#VALUE!</v>
      </c>
      <c r="AF117" s="225" t="e">
        <f t="shared" ca="1" si="37"/>
        <v>#VALUE!</v>
      </c>
      <c r="AG117" s="225" t="e">
        <f t="shared" ca="1" si="37"/>
        <v>#VALUE!</v>
      </c>
      <c r="AH117" s="225" t="e">
        <f t="shared" ca="1" si="37"/>
        <v>#VALUE!</v>
      </c>
      <c r="AI117" s="225" t="e">
        <f t="shared" ca="1" si="37"/>
        <v>#VALUE!</v>
      </c>
      <c r="AJ117" s="225" t="e">
        <f t="shared" ca="1" si="37"/>
        <v>#VALUE!</v>
      </c>
      <c r="AK117" s="225" t="e">
        <f t="shared" ca="1" si="37"/>
        <v>#VALUE!</v>
      </c>
      <c r="AL117" s="225" t="e">
        <f t="shared" ca="1" si="37"/>
        <v>#VALUE!</v>
      </c>
      <c r="AM117" s="225" t="e">
        <f t="shared" ca="1" si="37"/>
        <v>#VALUE!</v>
      </c>
      <c r="AN117" s="225" t="e">
        <f t="shared" ca="1" si="37"/>
        <v>#VALUE!</v>
      </c>
      <c r="AO117" s="225" t="e">
        <f t="shared" ca="1" si="37"/>
        <v>#VALUE!</v>
      </c>
      <c r="AP117" s="225" t="e">
        <f t="shared" ca="1" si="37"/>
        <v>#VALUE!</v>
      </c>
    </row>
    <row r="118" spans="1:42">
      <c r="A118" s="61" t="str">
        <f>'[5]TS BYDem'!A57</f>
        <v>*</v>
      </c>
      <c r="B118" s="225" t="s">
        <v>288</v>
      </c>
      <c r="C118" s="225" t="s">
        <v>137</v>
      </c>
      <c r="D118" s="225" t="str">
        <f>'[5]TS BYDem'!D57</f>
        <v>IISP</v>
      </c>
      <c r="E118" s="225" t="s">
        <v>137</v>
      </c>
      <c r="F118" s="225" t="s">
        <v>137</v>
      </c>
      <c r="G118" s="225" t="s">
        <v>137</v>
      </c>
      <c r="H118" s="225" t="s">
        <v>137</v>
      </c>
      <c r="I118" s="225">
        <v>0</v>
      </c>
      <c r="J118" s="225" t="str">
        <f>INDEX('[5]TS BYDem'!$J$10:$J$203,MATCH(D118,'[5]TS BYDem'!$D$10:$D$203,0))</f>
        <v/>
      </c>
      <c r="K118" s="225" t="e">
        <f t="shared" ca="1" si="36"/>
        <v>#VALUE!</v>
      </c>
      <c r="L118" s="225" t="e">
        <f t="shared" ca="1" si="36"/>
        <v>#VALUE!</v>
      </c>
      <c r="M118" s="225" t="e">
        <f t="shared" ca="1" si="36"/>
        <v>#VALUE!</v>
      </c>
      <c r="N118" s="225" t="e">
        <f t="shared" ca="1" si="36"/>
        <v>#VALUE!</v>
      </c>
      <c r="O118" s="225" t="e">
        <f t="shared" ca="1" si="36"/>
        <v>#VALUE!</v>
      </c>
      <c r="P118" s="225" t="e">
        <f t="shared" ca="1" si="36"/>
        <v>#VALUE!</v>
      </c>
      <c r="Q118" s="225" t="e">
        <f t="shared" ca="1" si="36"/>
        <v>#VALUE!</v>
      </c>
      <c r="R118" s="225" t="e">
        <f t="shared" ca="1" si="36"/>
        <v>#VALUE!</v>
      </c>
      <c r="S118" s="225" t="e">
        <f t="shared" ca="1" si="36"/>
        <v>#VALUE!</v>
      </c>
      <c r="T118" s="225" t="e">
        <f t="shared" ca="1" si="36"/>
        <v>#VALUE!</v>
      </c>
      <c r="U118" s="225" t="e">
        <f t="shared" ca="1" si="36"/>
        <v>#VALUE!</v>
      </c>
      <c r="V118" s="225" t="e">
        <f t="shared" ca="1" si="36"/>
        <v>#VALUE!</v>
      </c>
      <c r="W118" s="225" t="e">
        <f t="shared" ca="1" si="36"/>
        <v>#VALUE!</v>
      </c>
      <c r="X118" s="225" t="e">
        <f t="shared" ca="1" si="36"/>
        <v>#VALUE!</v>
      </c>
      <c r="Y118" s="225" t="e">
        <f t="shared" ca="1" si="36"/>
        <v>#VALUE!</v>
      </c>
      <c r="Z118" s="225" t="e">
        <f t="shared" ca="1" si="36"/>
        <v>#VALUE!</v>
      </c>
      <c r="AA118" s="225" t="e">
        <f t="shared" ca="1" si="37"/>
        <v>#VALUE!</v>
      </c>
      <c r="AB118" s="225" t="e">
        <f t="shared" ca="1" si="37"/>
        <v>#VALUE!</v>
      </c>
      <c r="AC118" s="225" t="e">
        <f t="shared" ca="1" si="37"/>
        <v>#VALUE!</v>
      </c>
      <c r="AD118" s="225" t="e">
        <f t="shared" ca="1" si="37"/>
        <v>#VALUE!</v>
      </c>
      <c r="AE118" s="225" t="e">
        <f t="shared" ca="1" si="37"/>
        <v>#VALUE!</v>
      </c>
      <c r="AF118" s="225" t="e">
        <f t="shared" ca="1" si="37"/>
        <v>#VALUE!</v>
      </c>
      <c r="AG118" s="225" t="e">
        <f t="shared" ca="1" si="37"/>
        <v>#VALUE!</v>
      </c>
      <c r="AH118" s="225" t="e">
        <f t="shared" ca="1" si="37"/>
        <v>#VALUE!</v>
      </c>
      <c r="AI118" s="225" t="e">
        <f t="shared" ca="1" si="37"/>
        <v>#VALUE!</v>
      </c>
      <c r="AJ118" s="225" t="e">
        <f t="shared" ca="1" si="37"/>
        <v>#VALUE!</v>
      </c>
      <c r="AK118" s="225" t="e">
        <f t="shared" ca="1" si="37"/>
        <v>#VALUE!</v>
      </c>
      <c r="AL118" s="225" t="e">
        <f t="shared" ca="1" si="37"/>
        <v>#VALUE!</v>
      </c>
      <c r="AM118" s="225" t="e">
        <f t="shared" ca="1" si="37"/>
        <v>#VALUE!</v>
      </c>
      <c r="AN118" s="225" t="e">
        <f t="shared" ca="1" si="37"/>
        <v>#VALUE!</v>
      </c>
      <c r="AO118" s="225" t="e">
        <f t="shared" ca="1" si="37"/>
        <v>#VALUE!</v>
      </c>
      <c r="AP118" s="225" t="e">
        <f t="shared" ca="1" si="37"/>
        <v>#VALUE!</v>
      </c>
    </row>
    <row r="119" spans="1:42">
      <c r="A119" s="61" t="str">
        <f>'[5]TS BYDem'!A58</f>
        <v>*</v>
      </c>
      <c r="B119" s="225" t="s">
        <v>288</v>
      </c>
      <c r="C119" s="225" t="s">
        <v>137</v>
      </c>
      <c r="D119" s="225" t="str">
        <f>'[5]TS BYDem'!D58</f>
        <v>IISF</v>
      </c>
      <c r="E119" s="225" t="s">
        <v>137</v>
      </c>
      <c r="F119" s="225" t="s">
        <v>137</v>
      </c>
      <c r="G119" s="225" t="s">
        <v>137</v>
      </c>
      <c r="H119" s="225" t="s">
        <v>137</v>
      </c>
      <c r="I119" s="225">
        <v>0</v>
      </c>
      <c r="J119" s="225" t="str">
        <f>INDEX('[5]TS BYDem'!$J$10:$J$203,MATCH(D119,'[5]TS BYDem'!$D$10:$D$203,0))</f>
        <v/>
      </c>
      <c r="K119" s="225" t="e">
        <f t="shared" ca="1" si="36"/>
        <v>#VALUE!</v>
      </c>
      <c r="L119" s="225" t="e">
        <f t="shared" ca="1" si="36"/>
        <v>#VALUE!</v>
      </c>
      <c r="M119" s="225" t="e">
        <f t="shared" ca="1" si="36"/>
        <v>#VALUE!</v>
      </c>
      <c r="N119" s="225" t="e">
        <f t="shared" ca="1" si="36"/>
        <v>#VALUE!</v>
      </c>
      <c r="O119" s="225" t="e">
        <f t="shared" ca="1" si="36"/>
        <v>#VALUE!</v>
      </c>
      <c r="P119" s="225" t="e">
        <f t="shared" ca="1" si="36"/>
        <v>#VALUE!</v>
      </c>
      <c r="Q119" s="225" t="e">
        <f t="shared" ca="1" si="36"/>
        <v>#VALUE!</v>
      </c>
      <c r="R119" s="225" t="e">
        <f t="shared" ca="1" si="36"/>
        <v>#VALUE!</v>
      </c>
      <c r="S119" s="225" t="e">
        <f t="shared" ca="1" si="36"/>
        <v>#VALUE!</v>
      </c>
      <c r="T119" s="225" t="e">
        <f t="shared" ca="1" si="36"/>
        <v>#VALUE!</v>
      </c>
      <c r="U119" s="225" t="e">
        <f t="shared" ca="1" si="36"/>
        <v>#VALUE!</v>
      </c>
      <c r="V119" s="225" t="e">
        <f t="shared" ca="1" si="36"/>
        <v>#VALUE!</v>
      </c>
      <c r="W119" s="225" t="e">
        <f t="shared" ca="1" si="36"/>
        <v>#VALUE!</v>
      </c>
      <c r="X119" s="225" t="e">
        <f t="shared" ca="1" si="36"/>
        <v>#VALUE!</v>
      </c>
      <c r="Y119" s="225" t="e">
        <f t="shared" ca="1" si="36"/>
        <v>#VALUE!</v>
      </c>
      <c r="Z119" s="225" t="e">
        <f t="shared" ca="1" si="36"/>
        <v>#VALUE!</v>
      </c>
      <c r="AA119" s="225" t="e">
        <f t="shared" ca="1" si="37"/>
        <v>#VALUE!</v>
      </c>
      <c r="AB119" s="225" t="e">
        <f t="shared" ca="1" si="37"/>
        <v>#VALUE!</v>
      </c>
      <c r="AC119" s="225" t="e">
        <f t="shared" ca="1" si="37"/>
        <v>#VALUE!</v>
      </c>
      <c r="AD119" s="225" t="e">
        <f t="shared" ca="1" si="37"/>
        <v>#VALUE!</v>
      </c>
      <c r="AE119" s="225" t="e">
        <f t="shared" ca="1" si="37"/>
        <v>#VALUE!</v>
      </c>
      <c r="AF119" s="225" t="e">
        <f t="shared" ca="1" si="37"/>
        <v>#VALUE!</v>
      </c>
      <c r="AG119" s="225" t="e">
        <f t="shared" ca="1" si="37"/>
        <v>#VALUE!</v>
      </c>
      <c r="AH119" s="225" t="e">
        <f t="shared" ca="1" si="37"/>
        <v>#VALUE!</v>
      </c>
      <c r="AI119" s="225" t="e">
        <f t="shared" ca="1" si="37"/>
        <v>#VALUE!</v>
      </c>
      <c r="AJ119" s="225" t="e">
        <f t="shared" ca="1" si="37"/>
        <v>#VALUE!</v>
      </c>
      <c r="AK119" s="225" t="e">
        <f t="shared" ca="1" si="37"/>
        <v>#VALUE!</v>
      </c>
      <c r="AL119" s="225" t="e">
        <f t="shared" ca="1" si="37"/>
        <v>#VALUE!</v>
      </c>
      <c r="AM119" s="225" t="e">
        <f t="shared" ca="1" si="37"/>
        <v>#VALUE!</v>
      </c>
      <c r="AN119" s="225" t="e">
        <f t="shared" ca="1" si="37"/>
        <v>#VALUE!</v>
      </c>
      <c r="AO119" s="225" t="e">
        <f t="shared" ca="1" si="37"/>
        <v>#VALUE!</v>
      </c>
      <c r="AP119" s="225" t="e">
        <f t="shared" ca="1" si="37"/>
        <v>#VALUE!</v>
      </c>
    </row>
    <row r="120" spans="1:42">
      <c r="A120" s="61" t="str">
        <f>'[5]TS BYDem'!A59</f>
        <v>*</v>
      </c>
      <c r="B120" s="225" t="s">
        <v>288</v>
      </c>
      <c r="C120" s="225" t="s">
        <v>137</v>
      </c>
      <c r="D120" s="225" t="str">
        <f>'[5]TS BYDem'!D59</f>
        <v>IISO</v>
      </c>
      <c r="E120" s="225" t="s">
        <v>137</v>
      </c>
      <c r="F120" s="225" t="s">
        <v>137</v>
      </c>
      <c r="G120" s="225" t="s">
        <v>137</v>
      </c>
      <c r="H120" s="225" t="s">
        <v>137</v>
      </c>
      <c r="I120" s="225">
        <v>0</v>
      </c>
      <c r="J120" s="225" t="str">
        <f>INDEX('[5]TS BYDem'!$J$10:$J$203,MATCH(D120,'[5]TS BYDem'!$D$10:$D$203,0))</f>
        <v/>
      </c>
      <c r="K120" s="225" t="e">
        <f t="shared" ca="1" si="36"/>
        <v>#VALUE!</v>
      </c>
      <c r="L120" s="225" t="e">
        <f t="shared" ca="1" si="36"/>
        <v>#VALUE!</v>
      </c>
      <c r="M120" s="225" t="e">
        <f t="shared" ca="1" si="36"/>
        <v>#VALUE!</v>
      </c>
      <c r="N120" s="225" t="e">
        <f t="shared" ca="1" si="36"/>
        <v>#VALUE!</v>
      </c>
      <c r="O120" s="225" t="e">
        <f t="shared" ca="1" si="36"/>
        <v>#VALUE!</v>
      </c>
      <c r="P120" s="225" t="e">
        <f t="shared" ca="1" si="36"/>
        <v>#VALUE!</v>
      </c>
      <c r="Q120" s="225" t="e">
        <f t="shared" ca="1" si="36"/>
        <v>#VALUE!</v>
      </c>
      <c r="R120" s="225" t="e">
        <f t="shared" ca="1" si="36"/>
        <v>#VALUE!</v>
      </c>
      <c r="S120" s="225" t="e">
        <f t="shared" ca="1" si="36"/>
        <v>#VALUE!</v>
      </c>
      <c r="T120" s="225" t="e">
        <f t="shared" ca="1" si="36"/>
        <v>#VALUE!</v>
      </c>
      <c r="U120" s="225" t="e">
        <f t="shared" ca="1" si="36"/>
        <v>#VALUE!</v>
      </c>
      <c r="V120" s="225" t="e">
        <f t="shared" ca="1" si="36"/>
        <v>#VALUE!</v>
      </c>
      <c r="W120" s="225" t="e">
        <f t="shared" ca="1" si="36"/>
        <v>#VALUE!</v>
      </c>
      <c r="X120" s="225" t="e">
        <f t="shared" ca="1" si="36"/>
        <v>#VALUE!</v>
      </c>
      <c r="Y120" s="225" t="e">
        <f t="shared" ca="1" si="36"/>
        <v>#VALUE!</v>
      </c>
      <c r="Z120" s="225" t="e">
        <f t="shared" ca="1" si="36"/>
        <v>#VALUE!</v>
      </c>
      <c r="AA120" s="225" t="e">
        <f t="shared" ca="1" si="37"/>
        <v>#VALUE!</v>
      </c>
      <c r="AB120" s="225" t="e">
        <f t="shared" ca="1" si="37"/>
        <v>#VALUE!</v>
      </c>
      <c r="AC120" s="225" t="e">
        <f t="shared" ca="1" si="37"/>
        <v>#VALUE!</v>
      </c>
      <c r="AD120" s="225" t="e">
        <f t="shared" ca="1" si="37"/>
        <v>#VALUE!</v>
      </c>
      <c r="AE120" s="225" t="e">
        <f t="shared" ca="1" si="37"/>
        <v>#VALUE!</v>
      </c>
      <c r="AF120" s="225" t="e">
        <f t="shared" ca="1" si="37"/>
        <v>#VALUE!</v>
      </c>
      <c r="AG120" s="225" t="e">
        <f t="shared" ca="1" si="37"/>
        <v>#VALUE!</v>
      </c>
      <c r="AH120" s="225" t="e">
        <f t="shared" ca="1" si="37"/>
        <v>#VALUE!</v>
      </c>
      <c r="AI120" s="225" t="e">
        <f t="shared" ca="1" si="37"/>
        <v>#VALUE!</v>
      </c>
      <c r="AJ120" s="225" t="e">
        <f t="shared" ca="1" si="37"/>
        <v>#VALUE!</v>
      </c>
      <c r="AK120" s="225" t="e">
        <f t="shared" ca="1" si="37"/>
        <v>#VALUE!</v>
      </c>
      <c r="AL120" s="225" t="e">
        <f t="shared" ca="1" si="37"/>
        <v>#VALUE!</v>
      </c>
      <c r="AM120" s="225" t="e">
        <f t="shared" ca="1" si="37"/>
        <v>#VALUE!</v>
      </c>
      <c r="AN120" s="225" t="e">
        <f t="shared" ca="1" si="37"/>
        <v>#VALUE!</v>
      </c>
      <c r="AO120" s="225" t="e">
        <f t="shared" ca="1" si="37"/>
        <v>#VALUE!</v>
      </c>
      <c r="AP120" s="225" t="e">
        <f t="shared" ca="1" si="37"/>
        <v>#VALUE!</v>
      </c>
    </row>
    <row r="121" spans="1:42">
      <c r="A121" s="61" t="str">
        <f>'[5]TS BYDem'!A60</f>
        <v>*</v>
      </c>
      <c r="B121" s="225" t="s">
        <v>288</v>
      </c>
      <c r="C121" s="225" t="s">
        <v>137</v>
      </c>
      <c r="D121" s="225" t="str">
        <f>'[5]TS BYDem'!D60</f>
        <v>IISE</v>
      </c>
      <c r="E121" s="225" t="s">
        <v>137</v>
      </c>
      <c r="F121" s="225" t="s">
        <v>137</v>
      </c>
      <c r="G121" s="225" t="s">
        <v>137</v>
      </c>
      <c r="H121" s="225" t="s">
        <v>137</v>
      </c>
      <c r="I121" s="225">
        <v>0</v>
      </c>
      <c r="J121" s="225" t="str">
        <f>INDEX('[5]TS BYDem'!$J$10:$J$203,MATCH(D121,'[5]TS BYDem'!$D$10:$D$203,0))</f>
        <v/>
      </c>
      <c r="K121" s="225" t="e">
        <f t="shared" ca="1" si="36"/>
        <v>#VALUE!</v>
      </c>
      <c r="L121" s="225" t="e">
        <f t="shared" ca="1" si="36"/>
        <v>#VALUE!</v>
      </c>
      <c r="M121" s="225" t="e">
        <f t="shared" ca="1" si="36"/>
        <v>#VALUE!</v>
      </c>
      <c r="N121" s="225" t="e">
        <f t="shared" ca="1" si="36"/>
        <v>#VALUE!</v>
      </c>
      <c r="O121" s="225" t="e">
        <f t="shared" ca="1" si="36"/>
        <v>#VALUE!</v>
      </c>
      <c r="P121" s="225" t="e">
        <f t="shared" ca="1" si="36"/>
        <v>#VALUE!</v>
      </c>
      <c r="Q121" s="225" t="e">
        <f t="shared" ca="1" si="36"/>
        <v>#VALUE!</v>
      </c>
      <c r="R121" s="225" t="e">
        <f t="shared" ca="1" si="36"/>
        <v>#VALUE!</v>
      </c>
      <c r="S121" s="225" t="e">
        <f t="shared" ca="1" si="36"/>
        <v>#VALUE!</v>
      </c>
      <c r="T121" s="225" t="e">
        <f t="shared" ca="1" si="36"/>
        <v>#VALUE!</v>
      </c>
      <c r="U121" s="225" t="e">
        <f t="shared" ca="1" si="36"/>
        <v>#VALUE!</v>
      </c>
      <c r="V121" s="225" t="e">
        <f t="shared" ca="1" si="36"/>
        <v>#VALUE!</v>
      </c>
      <c r="W121" s="225" t="e">
        <f t="shared" ca="1" si="36"/>
        <v>#VALUE!</v>
      </c>
      <c r="X121" s="225" t="e">
        <f t="shared" ca="1" si="36"/>
        <v>#VALUE!</v>
      </c>
      <c r="Y121" s="225" t="e">
        <f t="shared" ca="1" si="36"/>
        <v>#VALUE!</v>
      </c>
      <c r="Z121" s="225" t="e">
        <f t="shared" ca="1" si="36"/>
        <v>#VALUE!</v>
      </c>
      <c r="AA121" s="225" t="e">
        <f t="shared" ca="1" si="37"/>
        <v>#VALUE!</v>
      </c>
      <c r="AB121" s="225" t="e">
        <f t="shared" ca="1" si="37"/>
        <v>#VALUE!</v>
      </c>
      <c r="AC121" s="225" t="e">
        <f t="shared" ca="1" si="37"/>
        <v>#VALUE!</v>
      </c>
      <c r="AD121" s="225" t="e">
        <f t="shared" ca="1" si="37"/>
        <v>#VALUE!</v>
      </c>
      <c r="AE121" s="225" t="e">
        <f t="shared" ca="1" si="37"/>
        <v>#VALUE!</v>
      </c>
      <c r="AF121" s="225" t="e">
        <f t="shared" ca="1" si="37"/>
        <v>#VALUE!</v>
      </c>
      <c r="AG121" s="225" t="e">
        <f t="shared" ca="1" si="37"/>
        <v>#VALUE!</v>
      </c>
      <c r="AH121" s="225" t="e">
        <f t="shared" ca="1" si="37"/>
        <v>#VALUE!</v>
      </c>
      <c r="AI121" s="225" t="e">
        <f t="shared" ca="1" si="37"/>
        <v>#VALUE!</v>
      </c>
      <c r="AJ121" s="225" t="e">
        <f t="shared" ca="1" si="37"/>
        <v>#VALUE!</v>
      </c>
      <c r="AK121" s="225" t="e">
        <f t="shared" ca="1" si="37"/>
        <v>#VALUE!</v>
      </c>
      <c r="AL121" s="225" t="e">
        <f t="shared" ca="1" si="37"/>
        <v>#VALUE!</v>
      </c>
      <c r="AM121" s="225" t="e">
        <f t="shared" ca="1" si="37"/>
        <v>#VALUE!</v>
      </c>
      <c r="AN121" s="225" t="e">
        <f t="shared" ca="1" si="37"/>
        <v>#VALUE!</v>
      </c>
      <c r="AO121" s="225" t="e">
        <f t="shared" ca="1" si="37"/>
        <v>#VALUE!</v>
      </c>
      <c r="AP121" s="225" t="e">
        <f t="shared" ca="1" si="37"/>
        <v>#VALUE!</v>
      </c>
    </row>
    <row r="122" spans="1:42">
      <c r="A122" s="61" t="str">
        <f>'[5]TS BYDem'!A61</f>
        <v>*</v>
      </c>
      <c r="B122" s="225" t="s">
        <v>288</v>
      </c>
      <c r="C122" s="225" t="s">
        <v>137</v>
      </c>
      <c r="D122" s="225" t="str">
        <f>'[5]TS BYDem'!D61</f>
        <v xml:space="preserve"> </v>
      </c>
      <c r="E122" s="225" t="s">
        <v>137</v>
      </c>
      <c r="F122" s="225" t="s">
        <v>137</v>
      </c>
      <c r="G122" s="225" t="s">
        <v>137</v>
      </c>
      <c r="H122" s="225" t="s">
        <v>137</v>
      </c>
      <c r="I122" s="225">
        <v>0</v>
      </c>
      <c r="J122" s="225" t="str">
        <f>INDEX('[5]TS BYDem'!$J$10:$J$203,MATCH(D122,'[5]TS BYDem'!$D$10:$D$203,0))</f>
        <v/>
      </c>
      <c r="K122" s="225" t="e">
        <f t="shared" ca="1" si="36"/>
        <v>#VALUE!</v>
      </c>
      <c r="L122" s="225" t="e">
        <f t="shared" ca="1" si="36"/>
        <v>#VALUE!</v>
      </c>
      <c r="M122" s="225" t="e">
        <f t="shared" ca="1" si="36"/>
        <v>#VALUE!</v>
      </c>
      <c r="N122" s="225" t="e">
        <f t="shared" ca="1" si="36"/>
        <v>#VALUE!</v>
      </c>
      <c r="O122" s="225" t="e">
        <f t="shared" ca="1" si="36"/>
        <v>#VALUE!</v>
      </c>
      <c r="P122" s="225" t="e">
        <f t="shared" ca="1" si="36"/>
        <v>#VALUE!</v>
      </c>
      <c r="Q122" s="225" t="e">
        <f t="shared" ca="1" si="36"/>
        <v>#VALUE!</v>
      </c>
      <c r="R122" s="225" t="e">
        <f t="shared" ca="1" si="36"/>
        <v>#VALUE!</v>
      </c>
      <c r="S122" s="225" t="e">
        <f t="shared" ca="1" si="36"/>
        <v>#VALUE!</v>
      </c>
      <c r="T122" s="225" t="e">
        <f t="shared" ca="1" si="36"/>
        <v>#VALUE!</v>
      </c>
      <c r="U122" s="225" t="e">
        <f t="shared" ca="1" si="36"/>
        <v>#VALUE!</v>
      </c>
      <c r="V122" s="225" t="e">
        <f t="shared" ca="1" si="36"/>
        <v>#VALUE!</v>
      </c>
      <c r="W122" s="225" t="e">
        <f t="shared" ca="1" si="36"/>
        <v>#VALUE!</v>
      </c>
      <c r="X122" s="225" t="e">
        <f t="shared" ca="1" si="36"/>
        <v>#VALUE!</v>
      </c>
      <c r="Y122" s="225" t="e">
        <f t="shared" ca="1" si="36"/>
        <v>#VALUE!</v>
      </c>
      <c r="Z122" s="225" t="e">
        <f t="shared" ca="1" si="36"/>
        <v>#VALUE!</v>
      </c>
      <c r="AA122" s="225" t="e">
        <f t="shared" ca="1" si="37"/>
        <v>#VALUE!</v>
      </c>
      <c r="AB122" s="225" t="e">
        <f t="shared" ca="1" si="37"/>
        <v>#VALUE!</v>
      </c>
      <c r="AC122" s="225" t="e">
        <f t="shared" ca="1" si="37"/>
        <v>#VALUE!</v>
      </c>
      <c r="AD122" s="225" t="e">
        <f t="shared" ca="1" si="37"/>
        <v>#VALUE!</v>
      </c>
      <c r="AE122" s="225" t="e">
        <f t="shared" ca="1" si="37"/>
        <v>#VALUE!</v>
      </c>
      <c r="AF122" s="225" t="e">
        <f t="shared" ca="1" si="37"/>
        <v>#VALUE!</v>
      </c>
      <c r="AG122" s="225" t="e">
        <f t="shared" ca="1" si="37"/>
        <v>#VALUE!</v>
      </c>
      <c r="AH122" s="225" t="e">
        <f t="shared" ca="1" si="37"/>
        <v>#VALUE!</v>
      </c>
      <c r="AI122" s="225" t="e">
        <f t="shared" ca="1" si="37"/>
        <v>#VALUE!</v>
      </c>
      <c r="AJ122" s="225" t="e">
        <f t="shared" ca="1" si="37"/>
        <v>#VALUE!</v>
      </c>
      <c r="AK122" s="225" t="e">
        <f t="shared" ca="1" si="37"/>
        <v>#VALUE!</v>
      </c>
      <c r="AL122" s="225" t="e">
        <f t="shared" ca="1" si="37"/>
        <v>#VALUE!</v>
      </c>
      <c r="AM122" s="225" t="e">
        <f t="shared" ca="1" si="37"/>
        <v>#VALUE!</v>
      </c>
      <c r="AN122" s="225" t="e">
        <f t="shared" ca="1" si="37"/>
        <v>#VALUE!</v>
      </c>
      <c r="AO122" s="225" t="e">
        <f t="shared" ca="1" si="37"/>
        <v>#VALUE!</v>
      </c>
      <c r="AP122" s="225" t="e">
        <f t="shared" ca="1" si="37"/>
        <v>#VALUE!</v>
      </c>
    </row>
    <row r="123" spans="1:42">
      <c r="A123" s="61" t="str">
        <f>'[5]TS BYDem'!A62</f>
        <v>*</v>
      </c>
      <c r="B123" s="225" t="s">
        <v>288</v>
      </c>
      <c r="C123" s="225" t="s">
        <v>137</v>
      </c>
      <c r="D123" s="225" t="str">
        <f>'[5]TS BYDem'!D62</f>
        <v>IISS</v>
      </c>
      <c r="E123" s="225" t="s">
        <v>137</v>
      </c>
      <c r="F123" s="225" t="s">
        <v>137</v>
      </c>
      <c r="G123" s="225" t="s">
        <v>137</v>
      </c>
      <c r="H123" s="225" t="s">
        <v>137</v>
      </c>
      <c r="I123" s="225">
        <v>0</v>
      </c>
      <c r="J123" s="225" t="str">
        <f>INDEX('[5]TS BYDem'!$J$10:$J$203,MATCH(D123,'[5]TS BYDem'!$D$10:$D$203,0))</f>
        <v/>
      </c>
      <c r="K123" s="225" t="e">
        <f t="shared" ca="1" si="36"/>
        <v>#VALUE!</v>
      </c>
      <c r="L123" s="225" t="e">
        <f t="shared" ca="1" si="36"/>
        <v>#VALUE!</v>
      </c>
      <c r="M123" s="225" t="e">
        <f t="shared" ca="1" si="36"/>
        <v>#VALUE!</v>
      </c>
      <c r="N123" s="225" t="e">
        <f t="shared" ca="1" si="36"/>
        <v>#VALUE!</v>
      </c>
      <c r="O123" s="225" t="e">
        <f t="shared" ca="1" si="36"/>
        <v>#VALUE!</v>
      </c>
      <c r="P123" s="225" t="e">
        <f t="shared" ca="1" si="36"/>
        <v>#VALUE!</v>
      </c>
      <c r="Q123" s="225" t="e">
        <f t="shared" ca="1" si="36"/>
        <v>#VALUE!</v>
      </c>
      <c r="R123" s="225" t="e">
        <f t="shared" ca="1" si="36"/>
        <v>#VALUE!</v>
      </c>
      <c r="S123" s="225" t="e">
        <f t="shared" ca="1" si="36"/>
        <v>#VALUE!</v>
      </c>
      <c r="T123" s="225" t="e">
        <f t="shared" ca="1" si="36"/>
        <v>#VALUE!</v>
      </c>
      <c r="U123" s="225" t="e">
        <f t="shared" ca="1" si="36"/>
        <v>#VALUE!</v>
      </c>
      <c r="V123" s="225" t="e">
        <f t="shared" ca="1" si="36"/>
        <v>#VALUE!</v>
      </c>
      <c r="W123" s="225" t="e">
        <f t="shared" ca="1" si="36"/>
        <v>#VALUE!</v>
      </c>
      <c r="X123" s="225" t="e">
        <f t="shared" ca="1" si="36"/>
        <v>#VALUE!</v>
      </c>
      <c r="Y123" s="225" t="e">
        <f t="shared" ca="1" si="36"/>
        <v>#VALUE!</v>
      </c>
      <c r="Z123" s="225" t="e">
        <f t="shared" ca="1" si="36"/>
        <v>#VALUE!</v>
      </c>
      <c r="AA123" s="225" t="e">
        <f t="shared" ca="1" si="37"/>
        <v>#VALUE!</v>
      </c>
      <c r="AB123" s="225" t="e">
        <f t="shared" ca="1" si="37"/>
        <v>#VALUE!</v>
      </c>
      <c r="AC123" s="225" t="e">
        <f t="shared" ca="1" si="37"/>
        <v>#VALUE!</v>
      </c>
      <c r="AD123" s="225" t="e">
        <f t="shared" ca="1" si="37"/>
        <v>#VALUE!</v>
      </c>
      <c r="AE123" s="225" t="e">
        <f t="shared" ca="1" si="37"/>
        <v>#VALUE!</v>
      </c>
      <c r="AF123" s="225" t="e">
        <f t="shared" ca="1" si="37"/>
        <v>#VALUE!</v>
      </c>
      <c r="AG123" s="225" t="e">
        <f t="shared" ca="1" si="37"/>
        <v>#VALUE!</v>
      </c>
      <c r="AH123" s="225" t="e">
        <f t="shared" ca="1" si="37"/>
        <v>#VALUE!</v>
      </c>
      <c r="AI123" s="225" t="e">
        <f t="shared" ca="1" si="37"/>
        <v>#VALUE!</v>
      </c>
      <c r="AJ123" s="225" t="e">
        <f t="shared" ca="1" si="37"/>
        <v>#VALUE!</v>
      </c>
      <c r="AK123" s="225" t="e">
        <f t="shared" ca="1" si="37"/>
        <v>#VALUE!</v>
      </c>
      <c r="AL123" s="225" t="e">
        <f t="shared" ca="1" si="37"/>
        <v>#VALUE!</v>
      </c>
      <c r="AM123" s="225" t="e">
        <f t="shared" ca="1" si="37"/>
        <v>#VALUE!</v>
      </c>
      <c r="AN123" s="225" t="e">
        <f t="shared" ca="1" si="37"/>
        <v>#VALUE!</v>
      </c>
      <c r="AO123" s="225" t="e">
        <f t="shared" ca="1" si="37"/>
        <v>#VALUE!</v>
      </c>
      <c r="AP123" s="225" t="e">
        <f t="shared" ca="1" si="37"/>
        <v>#VALUE!</v>
      </c>
    </row>
    <row r="124" spans="1:42">
      <c r="A124" s="61" t="str">
        <f>'[5]TS BYDem'!A63</f>
        <v>*</v>
      </c>
      <c r="B124" s="225" t="s">
        <v>288</v>
      </c>
      <c r="C124" s="225" t="s">
        <v>137</v>
      </c>
      <c r="D124" s="225" t="str">
        <f>'[5]TS BYDem'!D63</f>
        <v>IISS</v>
      </c>
      <c r="E124" s="225" t="s">
        <v>137</v>
      </c>
      <c r="F124" s="225" t="s">
        <v>137</v>
      </c>
      <c r="G124" s="225" t="s">
        <v>137</v>
      </c>
      <c r="H124" s="225" t="s">
        <v>137</v>
      </c>
      <c r="I124" s="225">
        <v>0</v>
      </c>
      <c r="J124" s="225" t="str">
        <f>INDEX('[5]TS BYDem'!$J$10:$J$203,MATCH(D124,'[5]TS BYDem'!$D$10:$D$203,0))</f>
        <v/>
      </c>
      <c r="K124" s="225" t="e">
        <f t="shared" ca="1" si="36"/>
        <v>#VALUE!</v>
      </c>
      <c r="L124" s="225" t="e">
        <f t="shared" ca="1" si="36"/>
        <v>#VALUE!</v>
      </c>
      <c r="M124" s="225" t="e">
        <f t="shared" ca="1" si="36"/>
        <v>#VALUE!</v>
      </c>
      <c r="N124" s="225" t="e">
        <f t="shared" ca="1" si="36"/>
        <v>#VALUE!</v>
      </c>
      <c r="O124" s="225" t="e">
        <f t="shared" ca="1" si="36"/>
        <v>#VALUE!</v>
      </c>
      <c r="P124" s="225" t="e">
        <f t="shared" ca="1" si="36"/>
        <v>#VALUE!</v>
      </c>
      <c r="Q124" s="225" t="e">
        <f t="shared" ca="1" si="36"/>
        <v>#VALUE!</v>
      </c>
      <c r="R124" s="225" t="e">
        <f t="shared" ca="1" si="36"/>
        <v>#VALUE!</v>
      </c>
      <c r="S124" s="225" t="e">
        <f t="shared" ca="1" si="36"/>
        <v>#VALUE!</v>
      </c>
      <c r="T124" s="225" t="e">
        <f t="shared" ca="1" si="36"/>
        <v>#VALUE!</v>
      </c>
      <c r="U124" s="225" t="e">
        <f t="shared" ca="1" si="36"/>
        <v>#VALUE!</v>
      </c>
      <c r="V124" s="225" t="e">
        <f t="shared" ca="1" si="36"/>
        <v>#VALUE!</v>
      </c>
      <c r="W124" s="225" t="e">
        <f t="shared" ca="1" si="36"/>
        <v>#VALUE!</v>
      </c>
      <c r="X124" s="225" t="e">
        <f t="shared" ca="1" si="36"/>
        <v>#VALUE!</v>
      </c>
      <c r="Y124" s="225" t="e">
        <f t="shared" ca="1" si="36"/>
        <v>#VALUE!</v>
      </c>
      <c r="Z124" s="225" t="e">
        <f t="shared" ca="1" si="36"/>
        <v>#VALUE!</v>
      </c>
      <c r="AA124" s="225" t="e">
        <f t="shared" ca="1" si="37"/>
        <v>#VALUE!</v>
      </c>
      <c r="AB124" s="225" t="e">
        <f t="shared" ca="1" si="37"/>
        <v>#VALUE!</v>
      </c>
      <c r="AC124" s="225" t="e">
        <f t="shared" ca="1" si="37"/>
        <v>#VALUE!</v>
      </c>
      <c r="AD124" s="225" t="e">
        <f t="shared" ca="1" si="37"/>
        <v>#VALUE!</v>
      </c>
      <c r="AE124" s="225" t="e">
        <f t="shared" ca="1" si="37"/>
        <v>#VALUE!</v>
      </c>
      <c r="AF124" s="225" t="e">
        <f t="shared" ca="1" si="37"/>
        <v>#VALUE!</v>
      </c>
      <c r="AG124" s="225" t="e">
        <f t="shared" ca="1" si="37"/>
        <v>#VALUE!</v>
      </c>
      <c r="AH124" s="225" t="e">
        <f t="shared" ca="1" si="37"/>
        <v>#VALUE!</v>
      </c>
      <c r="AI124" s="225" t="e">
        <f t="shared" ca="1" si="37"/>
        <v>#VALUE!</v>
      </c>
      <c r="AJ124" s="225" t="e">
        <f t="shared" ca="1" si="37"/>
        <v>#VALUE!</v>
      </c>
      <c r="AK124" s="225" t="e">
        <f t="shared" ca="1" si="37"/>
        <v>#VALUE!</v>
      </c>
      <c r="AL124" s="225" t="e">
        <f t="shared" ca="1" si="37"/>
        <v>#VALUE!</v>
      </c>
      <c r="AM124" s="225" t="e">
        <f t="shared" ca="1" si="37"/>
        <v>#VALUE!</v>
      </c>
      <c r="AN124" s="225" t="e">
        <f t="shared" ca="1" si="37"/>
        <v>#VALUE!</v>
      </c>
      <c r="AO124" s="225" t="e">
        <f t="shared" ca="1" si="37"/>
        <v>#VALUE!</v>
      </c>
      <c r="AP124" s="225" t="e">
        <f t="shared" ca="1" si="37"/>
        <v>#VALUE!</v>
      </c>
    </row>
    <row r="125" spans="1:42">
      <c r="A125" s="61" t="str">
        <f>'[5]TS BYDem'!A64</f>
        <v>*</v>
      </c>
      <c r="B125" s="225" t="s">
        <v>288</v>
      </c>
      <c r="C125" s="225" t="s">
        <v>137</v>
      </c>
      <c r="D125" s="225" t="str">
        <f>'[5]TS BYDem'!D64</f>
        <v>IISS</v>
      </c>
      <c r="E125" s="225" t="s">
        <v>137</v>
      </c>
      <c r="F125" s="225" t="s">
        <v>137</v>
      </c>
      <c r="G125" s="225" t="s">
        <v>137</v>
      </c>
      <c r="H125" s="225" t="s">
        <v>137</v>
      </c>
      <c r="I125" s="225">
        <v>0</v>
      </c>
      <c r="J125" s="225" t="str">
        <f>INDEX('[5]TS BYDem'!$J$10:$J$203,MATCH(D125,'[5]TS BYDem'!$D$10:$D$203,0))</f>
        <v/>
      </c>
      <c r="K125" s="225" t="e">
        <f t="shared" ca="1" si="36"/>
        <v>#VALUE!</v>
      </c>
      <c r="L125" s="225" t="e">
        <f t="shared" ca="1" si="36"/>
        <v>#VALUE!</v>
      </c>
      <c r="M125" s="225" t="e">
        <f t="shared" ca="1" si="36"/>
        <v>#VALUE!</v>
      </c>
      <c r="N125" s="225" t="e">
        <f t="shared" ca="1" si="36"/>
        <v>#VALUE!</v>
      </c>
      <c r="O125" s="225" t="e">
        <f t="shared" ca="1" si="36"/>
        <v>#VALUE!</v>
      </c>
      <c r="P125" s="225" t="e">
        <f t="shared" ca="1" si="36"/>
        <v>#VALUE!</v>
      </c>
      <c r="Q125" s="225" t="e">
        <f t="shared" ca="1" si="36"/>
        <v>#VALUE!</v>
      </c>
      <c r="R125" s="225" t="e">
        <f t="shared" ca="1" si="36"/>
        <v>#VALUE!</v>
      </c>
      <c r="S125" s="225" t="e">
        <f t="shared" ca="1" si="36"/>
        <v>#VALUE!</v>
      </c>
      <c r="T125" s="225" t="e">
        <f t="shared" ca="1" si="36"/>
        <v>#VALUE!</v>
      </c>
      <c r="U125" s="225" t="e">
        <f t="shared" ca="1" si="36"/>
        <v>#VALUE!</v>
      </c>
      <c r="V125" s="225" t="e">
        <f t="shared" ca="1" si="36"/>
        <v>#VALUE!</v>
      </c>
      <c r="W125" s="225" t="e">
        <f t="shared" ca="1" si="36"/>
        <v>#VALUE!</v>
      </c>
      <c r="X125" s="225" t="e">
        <f t="shared" ca="1" si="36"/>
        <v>#VALUE!</v>
      </c>
      <c r="Y125" s="225" t="e">
        <f t="shared" ca="1" si="36"/>
        <v>#VALUE!</v>
      </c>
      <c r="Z125" s="225" t="e">
        <f t="shared" ca="1" si="36"/>
        <v>#VALUE!</v>
      </c>
      <c r="AA125" s="225" t="e">
        <f t="shared" ca="1" si="37"/>
        <v>#VALUE!</v>
      </c>
      <c r="AB125" s="225" t="e">
        <f t="shared" ca="1" si="37"/>
        <v>#VALUE!</v>
      </c>
      <c r="AC125" s="225" t="e">
        <f t="shared" ca="1" si="37"/>
        <v>#VALUE!</v>
      </c>
      <c r="AD125" s="225" t="e">
        <f t="shared" ca="1" si="37"/>
        <v>#VALUE!</v>
      </c>
      <c r="AE125" s="225" t="e">
        <f t="shared" ca="1" si="37"/>
        <v>#VALUE!</v>
      </c>
      <c r="AF125" s="225" t="e">
        <f t="shared" ca="1" si="37"/>
        <v>#VALUE!</v>
      </c>
      <c r="AG125" s="225" t="e">
        <f t="shared" ca="1" si="37"/>
        <v>#VALUE!</v>
      </c>
      <c r="AH125" s="225" t="e">
        <f t="shared" ca="1" si="37"/>
        <v>#VALUE!</v>
      </c>
      <c r="AI125" s="225" t="e">
        <f t="shared" ca="1" si="37"/>
        <v>#VALUE!</v>
      </c>
      <c r="AJ125" s="225" t="e">
        <f t="shared" ca="1" si="37"/>
        <v>#VALUE!</v>
      </c>
      <c r="AK125" s="225" t="e">
        <f t="shared" ca="1" si="37"/>
        <v>#VALUE!</v>
      </c>
      <c r="AL125" s="225" t="e">
        <f t="shared" ca="1" si="37"/>
        <v>#VALUE!</v>
      </c>
      <c r="AM125" s="225" t="e">
        <f t="shared" ca="1" si="37"/>
        <v>#VALUE!</v>
      </c>
      <c r="AN125" s="225" t="e">
        <f t="shared" ca="1" si="37"/>
        <v>#VALUE!</v>
      </c>
      <c r="AO125" s="225" t="e">
        <f t="shared" ca="1" si="37"/>
        <v>#VALUE!</v>
      </c>
      <c r="AP125" s="225" t="e">
        <f t="shared" ca="1" si="37"/>
        <v>#VALUE!</v>
      </c>
    </row>
    <row r="126" spans="1:42">
      <c r="A126" s="61" t="str">
        <f>'[5]TS BYDem'!A65</f>
        <v>*</v>
      </c>
      <c r="B126" s="225" t="s">
        <v>288</v>
      </c>
      <c r="C126" s="225" t="s">
        <v>137</v>
      </c>
      <c r="D126" s="225" t="str">
        <f>'[5]TS BYDem'!D65</f>
        <v>IISS</v>
      </c>
      <c r="E126" s="225" t="s">
        <v>137</v>
      </c>
      <c r="F126" s="225" t="s">
        <v>137</v>
      </c>
      <c r="G126" s="225" t="s">
        <v>137</v>
      </c>
      <c r="H126" s="225" t="s">
        <v>137</v>
      </c>
      <c r="I126" s="225">
        <v>0</v>
      </c>
      <c r="J126" s="225" t="str">
        <f>INDEX('[5]TS BYDem'!$J$10:$J$203,MATCH(D126,'[5]TS BYDem'!$D$10:$D$203,0))</f>
        <v/>
      </c>
      <c r="K126" s="225" t="e">
        <f t="shared" ca="1" si="36"/>
        <v>#VALUE!</v>
      </c>
      <c r="L126" s="225" t="e">
        <f t="shared" ca="1" si="36"/>
        <v>#VALUE!</v>
      </c>
      <c r="M126" s="225" t="e">
        <f t="shared" ca="1" si="36"/>
        <v>#VALUE!</v>
      </c>
      <c r="N126" s="225" t="e">
        <f t="shared" ca="1" si="36"/>
        <v>#VALUE!</v>
      </c>
      <c r="O126" s="225" t="e">
        <f t="shared" ca="1" si="36"/>
        <v>#VALUE!</v>
      </c>
      <c r="P126" s="225" t="e">
        <f t="shared" ca="1" si="36"/>
        <v>#VALUE!</v>
      </c>
      <c r="Q126" s="225" t="e">
        <f t="shared" ca="1" si="36"/>
        <v>#VALUE!</v>
      </c>
      <c r="R126" s="225" t="e">
        <f t="shared" ca="1" si="36"/>
        <v>#VALUE!</v>
      </c>
      <c r="S126" s="225" t="e">
        <f t="shared" ca="1" si="36"/>
        <v>#VALUE!</v>
      </c>
      <c r="T126" s="225" t="e">
        <f t="shared" ca="1" si="36"/>
        <v>#VALUE!</v>
      </c>
      <c r="U126" s="225" t="e">
        <f t="shared" ca="1" si="36"/>
        <v>#VALUE!</v>
      </c>
      <c r="V126" s="225" t="e">
        <f t="shared" ca="1" si="36"/>
        <v>#VALUE!</v>
      </c>
      <c r="W126" s="225" t="e">
        <f t="shared" ca="1" si="36"/>
        <v>#VALUE!</v>
      </c>
      <c r="X126" s="225" t="e">
        <f t="shared" ca="1" si="36"/>
        <v>#VALUE!</v>
      </c>
      <c r="Y126" s="225" t="e">
        <f t="shared" ca="1" si="36"/>
        <v>#VALUE!</v>
      </c>
      <c r="Z126" s="225" t="e">
        <f t="shared" ca="1" si="36"/>
        <v>#VALUE!</v>
      </c>
      <c r="AA126" s="225" t="e">
        <f t="shared" ca="1" si="37"/>
        <v>#VALUE!</v>
      </c>
      <c r="AB126" s="225" t="e">
        <f t="shared" ca="1" si="37"/>
        <v>#VALUE!</v>
      </c>
      <c r="AC126" s="225" t="e">
        <f t="shared" ca="1" si="37"/>
        <v>#VALUE!</v>
      </c>
      <c r="AD126" s="225" t="e">
        <f t="shared" ca="1" si="37"/>
        <v>#VALUE!</v>
      </c>
      <c r="AE126" s="225" t="e">
        <f t="shared" ca="1" si="37"/>
        <v>#VALUE!</v>
      </c>
      <c r="AF126" s="225" t="e">
        <f t="shared" ca="1" si="37"/>
        <v>#VALUE!</v>
      </c>
      <c r="AG126" s="225" t="e">
        <f t="shared" ca="1" si="37"/>
        <v>#VALUE!</v>
      </c>
      <c r="AH126" s="225" t="e">
        <f t="shared" ca="1" si="37"/>
        <v>#VALUE!</v>
      </c>
      <c r="AI126" s="225" t="e">
        <f t="shared" ca="1" si="37"/>
        <v>#VALUE!</v>
      </c>
      <c r="AJ126" s="225" t="e">
        <f t="shared" ca="1" si="37"/>
        <v>#VALUE!</v>
      </c>
      <c r="AK126" s="225" t="e">
        <f t="shared" ca="1" si="37"/>
        <v>#VALUE!</v>
      </c>
      <c r="AL126" s="225" t="e">
        <f t="shared" ca="1" si="37"/>
        <v>#VALUE!</v>
      </c>
      <c r="AM126" s="225" t="e">
        <f t="shared" ca="1" si="37"/>
        <v>#VALUE!</v>
      </c>
      <c r="AN126" s="225" t="e">
        <f t="shared" ca="1" si="37"/>
        <v>#VALUE!</v>
      </c>
      <c r="AO126" s="225" t="e">
        <f t="shared" ca="1" si="37"/>
        <v>#VALUE!</v>
      </c>
      <c r="AP126" s="225" t="e">
        <f t="shared" ca="1" si="37"/>
        <v>#VALUE!</v>
      </c>
    </row>
    <row r="127" spans="1:42">
      <c r="A127" s="61" t="str">
        <f>'[5]TS BYDem'!A66</f>
        <v>*</v>
      </c>
      <c r="B127" s="225" t="s">
        <v>288</v>
      </c>
      <c r="C127" s="225" t="s">
        <v>137</v>
      </c>
      <c r="D127" s="225" t="str">
        <f>'[5]TS BYDem'!D66</f>
        <v>IISS</v>
      </c>
      <c r="E127" s="225" t="s">
        <v>137</v>
      </c>
      <c r="F127" s="225" t="s">
        <v>137</v>
      </c>
      <c r="G127" s="225" t="s">
        <v>137</v>
      </c>
      <c r="H127" s="225" t="s">
        <v>137</v>
      </c>
      <c r="I127" s="225">
        <v>0</v>
      </c>
      <c r="J127" s="225" t="str">
        <f>INDEX('[5]TS BYDem'!$J$10:$J$203,MATCH(D127,'[5]TS BYDem'!$D$10:$D$203,0))</f>
        <v/>
      </c>
      <c r="K127" s="225" t="e">
        <f t="shared" ca="1" si="36"/>
        <v>#VALUE!</v>
      </c>
      <c r="L127" s="225" t="e">
        <f t="shared" ca="1" si="36"/>
        <v>#VALUE!</v>
      </c>
      <c r="M127" s="225" t="e">
        <f t="shared" ca="1" si="36"/>
        <v>#VALUE!</v>
      </c>
      <c r="N127" s="225" t="e">
        <f t="shared" ca="1" si="36"/>
        <v>#VALUE!</v>
      </c>
      <c r="O127" s="225" t="e">
        <f t="shared" ca="1" si="36"/>
        <v>#VALUE!</v>
      </c>
      <c r="P127" s="225" t="e">
        <f t="shared" ca="1" si="36"/>
        <v>#VALUE!</v>
      </c>
      <c r="Q127" s="225" t="e">
        <f t="shared" ca="1" si="36"/>
        <v>#VALUE!</v>
      </c>
      <c r="R127" s="225" t="e">
        <f t="shared" ca="1" si="36"/>
        <v>#VALUE!</v>
      </c>
      <c r="S127" s="225" t="e">
        <f t="shared" ca="1" si="36"/>
        <v>#VALUE!</v>
      </c>
      <c r="T127" s="225" t="e">
        <f t="shared" ca="1" si="36"/>
        <v>#VALUE!</v>
      </c>
      <c r="U127" s="225" t="e">
        <f t="shared" ca="1" si="36"/>
        <v>#VALUE!</v>
      </c>
      <c r="V127" s="225" t="e">
        <f t="shared" ca="1" si="36"/>
        <v>#VALUE!</v>
      </c>
      <c r="W127" s="225" t="e">
        <f t="shared" ca="1" si="36"/>
        <v>#VALUE!</v>
      </c>
      <c r="X127" s="225" t="e">
        <f t="shared" ca="1" si="36"/>
        <v>#VALUE!</v>
      </c>
      <c r="Y127" s="225" t="e">
        <f t="shared" ca="1" si="36"/>
        <v>#VALUE!</v>
      </c>
      <c r="Z127" s="225" t="e">
        <f t="shared" ca="1" si="36"/>
        <v>#VALUE!</v>
      </c>
      <c r="AA127" s="225" t="e">
        <f t="shared" ca="1" si="37"/>
        <v>#VALUE!</v>
      </c>
      <c r="AB127" s="225" t="e">
        <f t="shared" ca="1" si="37"/>
        <v>#VALUE!</v>
      </c>
      <c r="AC127" s="225" t="e">
        <f t="shared" ca="1" si="37"/>
        <v>#VALUE!</v>
      </c>
      <c r="AD127" s="225" t="e">
        <f t="shared" ca="1" si="37"/>
        <v>#VALUE!</v>
      </c>
      <c r="AE127" s="225" t="e">
        <f t="shared" ca="1" si="37"/>
        <v>#VALUE!</v>
      </c>
      <c r="AF127" s="225" t="e">
        <f t="shared" ca="1" si="37"/>
        <v>#VALUE!</v>
      </c>
      <c r="AG127" s="225" t="e">
        <f t="shared" ca="1" si="37"/>
        <v>#VALUE!</v>
      </c>
      <c r="AH127" s="225" t="e">
        <f t="shared" ca="1" si="37"/>
        <v>#VALUE!</v>
      </c>
      <c r="AI127" s="225" t="e">
        <f t="shared" ca="1" si="37"/>
        <v>#VALUE!</v>
      </c>
      <c r="AJ127" s="225" t="e">
        <f t="shared" ca="1" si="37"/>
        <v>#VALUE!</v>
      </c>
      <c r="AK127" s="225" t="e">
        <f t="shared" ca="1" si="37"/>
        <v>#VALUE!</v>
      </c>
      <c r="AL127" s="225" t="e">
        <f t="shared" ca="1" si="37"/>
        <v>#VALUE!</v>
      </c>
      <c r="AM127" s="225" t="e">
        <f t="shared" ca="1" si="37"/>
        <v>#VALUE!</v>
      </c>
      <c r="AN127" s="225" t="e">
        <f t="shared" ca="1" si="37"/>
        <v>#VALUE!</v>
      </c>
      <c r="AO127" s="225" t="e">
        <f t="shared" ca="1" si="37"/>
        <v>#VALUE!</v>
      </c>
      <c r="AP127" s="225" t="e">
        <f t="shared" ca="1" si="37"/>
        <v>#VALUE!</v>
      </c>
    </row>
    <row r="128" spans="1:42">
      <c r="A128" s="61" t="str">
        <f>'[5]TS BYDem'!A67</f>
        <v>*</v>
      </c>
      <c r="B128" s="225" t="s">
        <v>288</v>
      </c>
      <c r="C128" s="225" t="s">
        <v>137</v>
      </c>
      <c r="D128" s="225" t="str">
        <f>'[5]TS BYDem'!D67</f>
        <v>IISS</v>
      </c>
      <c r="E128" s="225" t="s">
        <v>137</v>
      </c>
      <c r="F128" s="225" t="s">
        <v>137</v>
      </c>
      <c r="G128" s="225" t="s">
        <v>137</v>
      </c>
      <c r="H128" s="225" t="s">
        <v>137</v>
      </c>
      <c r="I128" s="225">
        <v>0</v>
      </c>
      <c r="J128" s="225" t="str">
        <f>INDEX('[5]TS BYDem'!$J$10:$J$203,MATCH(D128,'[5]TS BYDem'!$D$10:$D$203,0))</f>
        <v/>
      </c>
      <c r="K128" s="225" t="e">
        <f t="shared" ca="1" si="36"/>
        <v>#VALUE!</v>
      </c>
      <c r="L128" s="225" t="e">
        <f t="shared" ca="1" si="36"/>
        <v>#VALUE!</v>
      </c>
      <c r="M128" s="225" t="e">
        <f t="shared" ca="1" si="36"/>
        <v>#VALUE!</v>
      </c>
      <c r="N128" s="225" t="e">
        <f t="shared" ca="1" si="36"/>
        <v>#VALUE!</v>
      </c>
      <c r="O128" s="225" t="e">
        <f t="shared" ca="1" si="36"/>
        <v>#VALUE!</v>
      </c>
      <c r="P128" s="225" t="e">
        <f t="shared" ca="1" si="36"/>
        <v>#VALUE!</v>
      </c>
      <c r="Q128" s="225" t="e">
        <f t="shared" ca="1" si="36"/>
        <v>#VALUE!</v>
      </c>
      <c r="R128" s="225" t="e">
        <f t="shared" ca="1" si="36"/>
        <v>#VALUE!</v>
      </c>
      <c r="S128" s="225" t="e">
        <f t="shared" ca="1" si="36"/>
        <v>#VALUE!</v>
      </c>
      <c r="T128" s="225" t="e">
        <f t="shared" ca="1" si="36"/>
        <v>#VALUE!</v>
      </c>
      <c r="U128" s="225" t="e">
        <f t="shared" ca="1" si="36"/>
        <v>#VALUE!</v>
      </c>
      <c r="V128" s="225" t="e">
        <f t="shared" ca="1" si="36"/>
        <v>#VALUE!</v>
      </c>
      <c r="W128" s="225" t="e">
        <f t="shared" ca="1" si="36"/>
        <v>#VALUE!</v>
      </c>
      <c r="X128" s="225" t="e">
        <f t="shared" ca="1" si="36"/>
        <v>#VALUE!</v>
      </c>
      <c r="Y128" s="225" t="e">
        <f t="shared" ca="1" si="36"/>
        <v>#VALUE!</v>
      </c>
      <c r="Z128" s="225" t="e">
        <f t="shared" ref="Z128:AO132" ca="1" si="38">Z$112/Y$112*Y128</f>
        <v>#VALUE!</v>
      </c>
      <c r="AA128" s="225" t="e">
        <f t="shared" ca="1" si="37"/>
        <v>#VALUE!</v>
      </c>
      <c r="AB128" s="225" t="e">
        <f t="shared" ca="1" si="37"/>
        <v>#VALUE!</v>
      </c>
      <c r="AC128" s="225" t="e">
        <f t="shared" ca="1" si="37"/>
        <v>#VALUE!</v>
      </c>
      <c r="AD128" s="225" t="e">
        <f t="shared" ca="1" si="37"/>
        <v>#VALUE!</v>
      </c>
      <c r="AE128" s="225" t="e">
        <f t="shared" ca="1" si="37"/>
        <v>#VALUE!</v>
      </c>
      <c r="AF128" s="225" t="e">
        <f t="shared" ca="1" si="37"/>
        <v>#VALUE!</v>
      </c>
      <c r="AG128" s="225" t="e">
        <f t="shared" ca="1" si="37"/>
        <v>#VALUE!</v>
      </c>
      <c r="AH128" s="225" t="e">
        <f t="shared" ca="1" si="37"/>
        <v>#VALUE!</v>
      </c>
      <c r="AI128" s="225" t="e">
        <f t="shared" ca="1" si="37"/>
        <v>#VALUE!</v>
      </c>
      <c r="AJ128" s="225" t="e">
        <f t="shared" ca="1" si="37"/>
        <v>#VALUE!</v>
      </c>
      <c r="AK128" s="225" t="e">
        <f t="shared" ca="1" si="37"/>
        <v>#VALUE!</v>
      </c>
      <c r="AL128" s="225" t="e">
        <f t="shared" ca="1" si="37"/>
        <v>#VALUE!</v>
      </c>
      <c r="AM128" s="225" t="e">
        <f t="shared" ca="1" si="37"/>
        <v>#VALUE!</v>
      </c>
      <c r="AN128" s="225" t="e">
        <f t="shared" ca="1" si="37"/>
        <v>#VALUE!</v>
      </c>
      <c r="AO128" s="225" t="e">
        <f t="shared" ca="1" si="37"/>
        <v>#VALUE!</v>
      </c>
      <c r="AP128" s="225" t="e">
        <f t="shared" ref="AP128:AP132" ca="1" si="39">AP$112/AO$112*AO128</f>
        <v>#VALUE!</v>
      </c>
    </row>
    <row r="129" spans="1:42">
      <c r="A129" s="61" t="str">
        <f>'[5]TS BYDem'!A68</f>
        <v>*</v>
      </c>
      <c r="B129" s="225" t="s">
        <v>288</v>
      </c>
      <c r="C129" s="225" t="s">
        <v>137</v>
      </c>
      <c r="D129" s="225">
        <f>'[5]TS BYDem'!D68</f>
        <v>0</v>
      </c>
      <c r="E129" s="225" t="s">
        <v>137</v>
      </c>
      <c r="F129" s="225" t="s">
        <v>137</v>
      </c>
      <c r="G129" s="225" t="s">
        <v>137</v>
      </c>
      <c r="H129" s="225" t="s">
        <v>137</v>
      </c>
      <c r="I129" s="225">
        <v>0</v>
      </c>
      <c r="J129" s="225" t="str">
        <f>INDEX('[5]TS BYDem'!$J$10:$J$203,MATCH(D129,'[5]TS BYDem'!$D$10:$D$203,0))</f>
        <v/>
      </c>
      <c r="K129" s="225" t="e">
        <f t="shared" ref="K129:Z132" ca="1" si="40">K$112/J$112*J129</f>
        <v>#VALUE!</v>
      </c>
      <c r="L129" s="225" t="e">
        <f t="shared" ca="1" si="40"/>
        <v>#VALUE!</v>
      </c>
      <c r="M129" s="225" t="e">
        <f t="shared" ca="1" si="40"/>
        <v>#VALUE!</v>
      </c>
      <c r="N129" s="225" t="e">
        <f t="shared" ca="1" si="40"/>
        <v>#VALUE!</v>
      </c>
      <c r="O129" s="225" t="e">
        <f t="shared" ca="1" si="40"/>
        <v>#VALUE!</v>
      </c>
      <c r="P129" s="225" t="e">
        <f t="shared" ca="1" si="40"/>
        <v>#VALUE!</v>
      </c>
      <c r="Q129" s="225" t="e">
        <f t="shared" ca="1" si="40"/>
        <v>#VALUE!</v>
      </c>
      <c r="R129" s="225" t="e">
        <f t="shared" ca="1" si="40"/>
        <v>#VALUE!</v>
      </c>
      <c r="S129" s="225" t="e">
        <f t="shared" ca="1" si="40"/>
        <v>#VALUE!</v>
      </c>
      <c r="T129" s="225" t="e">
        <f t="shared" ca="1" si="40"/>
        <v>#VALUE!</v>
      </c>
      <c r="U129" s="225" t="e">
        <f t="shared" ca="1" si="40"/>
        <v>#VALUE!</v>
      </c>
      <c r="V129" s="225" t="e">
        <f t="shared" ca="1" si="40"/>
        <v>#VALUE!</v>
      </c>
      <c r="W129" s="225" t="e">
        <f t="shared" ca="1" si="40"/>
        <v>#VALUE!</v>
      </c>
      <c r="X129" s="225" t="e">
        <f t="shared" ca="1" si="40"/>
        <v>#VALUE!</v>
      </c>
      <c r="Y129" s="225" t="e">
        <f t="shared" ca="1" si="40"/>
        <v>#VALUE!</v>
      </c>
      <c r="Z129" s="225" t="e">
        <f t="shared" ca="1" si="38"/>
        <v>#VALUE!</v>
      </c>
      <c r="AA129" s="225" t="e">
        <f t="shared" ca="1" si="38"/>
        <v>#VALUE!</v>
      </c>
      <c r="AB129" s="225" t="e">
        <f t="shared" ca="1" si="38"/>
        <v>#VALUE!</v>
      </c>
      <c r="AC129" s="225" t="e">
        <f t="shared" ca="1" si="38"/>
        <v>#VALUE!</v>
      </c>
      <c r="AD129" s="225" t="e">
        <f t="shared" ca="1" si="38"/>
        <v>#VALUE!</v>
      </c>
      <c r="AE129" s="225" t="e">
        <f t="shared" ca="1" si="38"/>
        <v>#VALUE!</v>
      </c>
      <c r="AF129" s="225" t="e">
        <f t="shared" ca="1" si="38"/>
        <v>#VALUE!</v>
      </c>
      <c r="AG129" s="225" t="e">
        <f t="shared" ca="1" si="38"/>
        <v>#VALUE!</v>
      </c>
      <c r="AH129" s="225" t="e">
        <f t="shared" ca="1" si="38"/>
        <v>#VALUE!</v>
      </c>
      <c r="AI129" s="225" t="e">
        <f t="shared" ca="1" si="38"/>
        <v>#VALUE!</v>
      </c>
      <c r="AJ129" s="225" t="e">
        <f t="shared" ca="1" si="38"/>
        <v>#VALUE!</v>
      </c>
      <c r="AK129" s="225" t="e">
        <f t="shared" ca="1" si="38"/>
        <v>#VALUE!</v>
      </c>
      <c r="AL129" s="225" t="e">
        <f t="shared" ca="1" si="38"/>
        <v>#VALUE!</v>
      </c>
      <c r="AM129" s="225" t="e">
        <f t="shared" ca="1" si="38"/>
        <v>#VALUE!</v>
      </c>
      <c r="AN129" s="225" t="e">
        <f t="shared" ca="1" si="38"/>
        <v>#VALUE!</v>
      </c>
      <c r="AO129" s="225" t="e">
        <f t="shared" ca="1" si="38"/>
        <v>#VALUE!</v>
      </c>
      <c r="AP129" s="225" t="e">
        <f t="shared" ca="1" si="39"/>
        <v>#VALUE!</v>
      </c>
    </row>
    <row r="130" spans="1:42">
      <c r="A130" s="61" t="str">
        <f>'[5]TS BYDem'!A69</f>
        <v>*</v>
      </c>
      <c r="B130" s="225" t="s">
        <v>288</v>
      </c>
      <c r="C130" s="225" t="s">
        <v>137</v>
      </c>
      <c r="D130" s="225" t="str">
        <f>'[5]TS BYDem'!D69</f>
        <v>IIST</v>
      </c>
      <c r="E130" s="225" t="s">
        <v>137</v>
      </c>
      <c r="F130" s="225" t="s">
        <v>137</v>
      </c>
      <c r="G130" s="225" t="s">
        <v>137</v>
      </c>
      <c r="H130" s="225" t="s">
        <v>137</v>
      </c>
      <c r="I130" s="225">
        <v>0</v>
      </c>
      <c r="J130" s="225" t="str">
        <f>INDEX('[5]TS BYDem'!$J$10:$J$203,MATCH(D130,'[5]TS BYDem'!$D$10:$D$203,0))</f>
        <v/>
      </c>
      <c r="K130" s="225" t="e">
        <f t="shared" ca="1" si="40"/>
        <v>#VALUE!</v>
      </c>
      <c r="L130" s="225" t="e">
        <f t="shared" ca="1" si="40"/>
        <v>#VALUE!</v>
      </c>
      <c r="M130" s="225" t="e">
        <f t="shared" ca="1" si="40"/>
        <v>#VALUE!</v>
      </c>
      <c r="N130" s="225" t="e">
        <f t="shared" ca="1" si="40"/>
        <v>#VALUE!</v>
      </c>
      <c r="O130" s="225" t="e">
        <f t="shared" ca="1" si="40"/>
        <v>#VALUE!</v>
      </c>
      <c r="P130" s="225" t="e">
        <f t="shared" ca="1" si="40"/>
        <v>#VALUE!</v>
      </c>
      <c r="Q130" s="225" t="e">
        <f t="shared" ca="1" si="40"/>
        <v>#VALUE!</v>
      </c>
      <c r="R130" s="225" t="e">
        <f t="shared" ca="1" si="40"/>
        <v>#VALUE!</v>
      </c>
      <c r="S130" s="225" t="e">
        <f t="shared" ca="1" si="40"/>
        <v>#VALUE!</v>
      </c>
      <c r="T130" s="225" t="e">
        <f t="shared" ca="1" si="40"/>
        <v>#VALUE!</v>
      </c>
      <c r="U130" s="225" t="e">
        <f t="shared" ca="1" si="40"/>
        <v>#VALUE!</v>
      </c>
      <c r="V130" s="225" t="e">
        <f t="shared" ca="1" si="40"/>
        <v>#VALUE!</v>
      </c>
      <c r="W130" s="225" t="e">
        <f t="shared" ca="1" si="40"/>
        <v>#VALUE!</v>
      </c>
      <c r="X130" s="225" t="e">
        <f t="shared" ca="1" si="40"/>
        <v>#VALUE!</v>
      </c>
      <c r="Y130" s="225" t="e">
        <f t="shared" ca="1" si="40"/>
        <v>#VALUE!</v>
      </c>
      <c r="Z130" s="225" t="e">
        <f t="shared" ca="1" si="38"/>
        <v>#VALUE!</v>
      </c>
      <c r="AA130" s="225" t="e">
        <f t="shared" ca="1" si="38"/>
        <v>#VALUE!</v>
      </c>
      <c r="AB130" s="225" t="e">
        <f t="shared" ca="1" si="38"/>
        <v>#VALUE!</v>
      </c>
      <c r="AC130" s="225" t="e">
        <f t="shared" ca="1" si="38"/>
        <v>#VALUE!</v>
      </c>
      <c r="AD130" s="225" t="e">
        <f t="shared" ca="1" si="38"/>
        <v>#VALUE!</v>
      </c>
      <c r="AE130" s="225" t="e">
        <f t="shared" ca="1" si="38"/>
        <v>#VALUE!</v>
      </c>
      <c r="AF130" s="225" t="e">
        <f t="shared" ca="1" si="38"/>
        <v>#VALUE!</v>
      </c>
      <c r="AG130" s="225" t="e">
        <f t="shared" ca="1" si="38"/>
        <v>#VALUE!</v>
      </c>
      <c r="AH130" s="225" t="e">
        <f t="shared" ca="1" si="38"/>
        <v>#VALUE!</v>
      </c>
      <c r="AI130" s="225" t="e">
        <f t="shared" ca="1" si="38"/>
        <v>#VALUE!</v>
      </c>
      <c r="AJ130" s="225" t="e">
        <f t="shared" ca="1" si="38"/>
        <v>#VALUE!</v>
      </c>
      <c r="AK130" s="225" t="e">
        <f t="shared" ca="1" si="38"/>
        <v>#VALUE!</v>
      </c>
      <c r="AL130" s="225" t="e">
        <f t="shared" ca="1" si="38"/>
        <v>#VALUE!</v>
      </c>
      <c r="AM130" s="225" t="e">
        <f t="shared" ca="1" si="38"/>
        <v>#VALUE!</v>
      </c>
      <c r="AN130" s="225" t="e">
        <f t="shared" ca="1" si="38"/>
        <v>#VALUE!</v>
      </c>
      <c r="AO130" s="225" t="e">
        <f t="shared" ca="1" si="38"/>
        <v>#VALUE!</v>
      </c>
      <c r="AP130" s="225" t="e">
        <f t="shared" ca="1" si="39"/>
        <v>#VALUE!</v>
      </c>
    </row>
    <row r="131" spans="1:42">
      <c r="A131" s="61" t="str">
        <f>'[5]TS BYDem'!A70</f>
        <v>*</v>
      </c>
      <c r="B131" s="225" t="s">
        <v>288</v>
      </c>
      <c r="C131" s="225" t="s">
        <v>137</v>
      </c>
      <c r="D131" s="225" t="str">
        <f>'[5]TS BYDem'!D70</f>
        <v>Useful Energy Service</v>
      </c>
      <c r="E131" s="225" t="s">
        <v>137</v>
      </c>
      <c r="F131" s="225" t="s">
        <v>137</v>
      </c>
      <c r="G131" s="225" t="s">
        <v>137</v>
      </c>
      <c r="H131" s="225" t="s">
        <v>137</v>
      </c>
      <c r="I131" s="225">
        <v>0</v>
      </c>
      <c r="J131" s="225" t="str">
        <f>INDEX('[5]TS BYDem'!$J$10:$J$203,MATCH(D131,'[5]TS BYDem'!$D$10:$D$203,0))</f>
        <v/>
      </c>
      <c r="K131" s="225" t="e">
        <f t="shared" ca="1" si="40"/>
        <v>#VALUE!</v>
      </c>
      <c r="L131" s="225" t="e">
        <f t="shared" ca="1" si="40"/>
        <v>#VALUE!</v>
      </c>
      <c r="M131" s="225" t="e">
        <f t="shared" ca="1" si="40"/>
        <v>#VALUE!</v>
      </c>
      <c r="N131" s="225" t="e">
        <f t="shared" ca="1" si="40"/>
        <v>#VALUE!</v>
      </c>
      <c r="O131" s="225" t="e">
        <f t="shared" ca="1" si="40"/>
        <v>#VALUE!</v>
      </c>
      <c r="P131" s="225" t="e">
        <f t="shared" ca="1" si="40"/>
        <v>#VALUE!</v>
      </c>
      <c r="Q131" s="225" t="e">
        <f t="shared" ca="1" si="40"/>
        <v>#VALUE!</v>
      </c>
      <c r="R131" s="225" t="e">
        <f t="shared" ca="1" si="40"/>
        <v>#VALUE!</v>
      </c>
      <c r="S131" s="225" t="e">
        <f t="shared" ca="1" si="40"/>
        <v>#VALUE!</v>
      </c>
      <c r="T131" s="225" t="e">
        <f t="shared" ca="1" si="40"/>
        <v>#VALUE!</v>
      </c>
      <c r="U131" s="225" t="e">
        <f t="shared" ca="1" si="40"/>
        <v>#VALUE!</v>
      </c>
      <c r="V131" s="225" t="e">
        <f t="shared" ca="1" si="40"/>
        <v>#VALUE!</v>
      </c>
      <c r="W131" s="225" t="e">
        <f t="shared" ca="1" si="40"/>
        <v>#VALUE!</v>
      </c>
      <c r="X131" s="225" t="e">
        <f t="shared" ca="1" si="40"/>
        <v>#VALUE!</v>
      </c>
      <c r="Y131" s="225" t="e">
        <f t="shared" ca="1" si="40"/>
        <v>#VALUE!</v>
      </c>
      <c r="Z131" s="225" t="e">
        <f t="shared" ca="1" si="38"/>
        <v>#VALUE!</v>
      </c>
      <c r="AA131" s="225" t="e">
        <f t="shared" ca="1" si="38"/>
        <v>#VALUE!</v>
      </c>
      <c r="AB131" s="225" t="e">
        <f t="shared" ca="1" si="38"/>
        <v>#VALUE!</v>
      </c>
      <c r="AC131" s="225" t="e">
        <f t="shared" ca="1" si="38"/>
        <v>#VALUE!</v>
      </c>
      <c r="AD131" s="225" t="e">
        <f t="shared" ca="1" si="38"/>
        <v>#VALUE!</v>
      </c>
      <c r="AE131" s="225" t="e">
        <f t="shared" ca="1" si="38"/>
        <v>#VALUE!</v>
      </c>
      <c r="AF131" s="225" t="e">
        <f t="shared" ca="1" si="38"/>
        <v>#VALUE!</v>
      </c>
      <c r="AG131" s="225" t="e">
        <f t="shared" ca="1" si="38"/>
        <v>#VALUE!</v>
      </c>
      <c r="AH131" s="225" t="e">
        <f t="shared" ca="1" si="38"/>
        <v>#VALUE!</v>
      </c>
      <c r="AI131" s="225" t="e">
        <f t="shared" ca="1" si="38"/>
        <v>#VALUE!</v>
      </c>
      <c r="AJ131" s="225" t="e">
        <f t="shared" ca="1" si="38"/>
        <v>#VALUE!</v>
      </c>
      <c r="AK131" s="225" t="e">
        <f t="shared" ca="1" si="38"/>
        <v>#VALUE!</v>
      </c>
      <c r="AL131" s="225" t="e">
        <f t="shared" ca="1" si="38"/>
        <v>#VALUE!</v>
      </c>
      <c r="AM131" s="225" t="e">
        <f t="shared" ca="1" si="38"/>
        <v>#VALUE!</v>
      </c>
      <c r="AN131" s="225" t="e">
        <f t="shared" ca="1" si="38"/>
        <v>#VALUE!</v>
      </c>
      <c r="AO131" s="225" t="e">
        <f t="shared" ca="1" si="38"/>
        <v>#VALUE!</v>
      </c>
      <c r="AP131" s="225" t="e">
        <f t="shared" ca="1" si="39"/>
        <v>#VALUE!</v>
      </c>
    </row>
    <row r="132" spans="1:42">
      <c r="A132" s="61" t="str">
        <f>'[5]TS BYDem'!A71</f>
        <v>*</v>
      </c>
      <c r="B132" s="225" t="s">
        <v>288</v>
      </c>
      <c r="C132" s="225" t="s">
        <v>137</v>
      </c>
      <c r="D132" s="225">
        <f>'[5]TS BYDem'!D71</f>
        <v>0</v>
      </c>
      <c r="E132" s="225" t="s">
        <v>137</v>
      </c>
      <c r="F132" s="225" t="s">
        <v>137</v>
      </c>
      <c r="G132" s="225" t="s">
        <v>137</v>
      </c>
      <c r="H132" s="225" t="s">
        <v>137</v>
      </c>
      <c r="I132" s="225">
        <v>0</v>
      </c>
      <c r="J132" s="225" t="str">
        <f>INDEX('[5]TS BYDem'!$J$10:$J$203,MATCH(D132,'[5]TS BYDem'!$D$10:$D$203,0))</f>
        <v/>
      </c>
      <c r="K132" s="225" t="e">
        <f t="shared" ca="1" si="40"/>
        <v>#VALUE!</v>
      </c>
      <c r="L132" s="225" t="e">
        <f t="shared" ca="1" si="40"/>
        <v>#VALUE!</v>
      </c>
      <c r="M132" s="225" t="e">
        <f t="shared" ca="1" si="40"/>
        <v>#VALUE!</v>
      </c>
      <c r="N132" s="225" t="e">
        <f t="shared" ca="1" si="40"/>
        <v>#VALUE!</v>
      </c>
      <c r="O132" s="225" t="e">
        <f t="shared" ca="1" si="40"/>
        <v>#VALUE!</v>
      </c>
      <c r="P132" s="225" t="e">
        <f t="shared" ca="1" si="40"/>
        <v>#VALUE!</v>
      </c>
      <c r="Q132" s="225" t="e">
        <f t="shared" ca="1" si="40"/>
        <v>#VALUE!</v>
      </c>
      <c r="R132" s="225" t="e">
        <f t="shared" ca="1" si="40"/>
        <v>#VALUE!</v>
      </c>
      <c r="S132" s="225" t="e">
        <f t="shared" ca="1" si="40"/>
        <v>#VALUE!</v>
      </c>
      <c r="T132" s="225" t="e">
        <f t="shared" ca="1" si="40"/>
        <v>#VALUE!</v>
      </c>
      <c r="U132" s="225" t="e">
        <f t="shared" ca="1" si="40"/>
        <v>#VALUE!</v>
      </c>
      <c r="V132" s="225" t="e">
        <f t="shared" ca="1" si="40"/>
        <v>#VALUE!</v>
      </c>
      <c r="W132" s="225" t="e">
        <f t="shared" ca="1" si="40"/>
        <v>#VALUE!</v>
      </c>
      <c r="X132" s="225" t="e">
        <f t="shared" ca="1" si="40"/>
        <v>#VALUE!</v>
      </c>
      <c r="Y132" s="225" t="e">
        <f t="shared" ca="1" si="40"/>
        <v>#VALUE!</v>
      </c>
      <c r="Z132" s="225" t="e">
        <f t="shared" ca="1" si="40"/>
        <v>#VALUE!</v>
      </c>
      <c r="AA132" s="225" t="e">
        <f t="shared" ca="1" si="38"/>
        <v>#VALUE!</v>
      </c>
      <c r="AB132" s="225" t="e">
        <f t="shared" ca="1" si="38"/>
        <v>#VALUE!</v>
      </c>
      <c r="AC132" s="225" t="e">
        <f t="shared" ca="1" si="38"/>
        <v>#VALUE!</v>
      </c>
      <c r="AD132" s="225" t="e">
        <f t="shared" ca="1" si="38"/>
        <v>#VALUE!</v>
      </c>
      <c r="AE132" s="225" t="e">
        <f t="shared" ca="1" si="38"/>
        <v>#VALUE!</v>
      </c>
      <c r="AF132" s="225" t="e">
        <f t="shared" ca="1" si="38"/>
        <v>#VALUE!</v>
      </c>
      <c r="AG132" s="225" t="e">
        <f t="shared" ca="1" si="38"/>
        <v>#VALUE!</v>
      </c>
      <c r="AH132" s="225" t="e">
        <f t="shared" ca="1" si="38"/>
        <v>#VALUE!</v>
      </c>
      <c r="AI132" s="225" t="e">
        <f t="shared" ca="1" si="38"/>
        <v>#VALUE!</v>
      </c>
      <c r="AJ132" s="225" t="e">
        <f t="shared" ca="1" si="38"/>
        <v>#VALUE!</v>
      </c>
      <c r="AK132" s="225" t="e">
        <f t="shared" ca="1" si="38"/>
        <v>#VALUE!</v>
      </c>
      <c r="AL132" s="225" t="e">
        <f t="shared" ca="1" si="38"/>
        <v>#VALUE!</v>
      </c>
      <c r="AM132" s="225" t="e">
        <f t="shared" ca="1" si="38"/>
        <v>#VALUE!</v>
      </c>
      <c r="AN132" s="225" t="e">
        <f t="shared" ca="1" si="38"/>
        <v>#VALUE!</v>
      </c>
      <c r="AO132" s="225" t="e">
        <f t="shared" ca="1" si="38"/>
        <v>#VALUE!</v>
      </c>
      <c r="AP132" s="225" t="e">
        <f t="shared" ca="1" si="39"/>
        <v>#VALUE!</v>
      </c>
    </row>
    <row r="133" spans="1:42" s="5" customFormat="1">
      <c r="A133" s="61" t="str">
        <f>'[5]TS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61" t="str">
        <f>'[5]TS BYDem'!A73</f>
        <v/>
      </c>
      <c r="B134" s="225" t="s">
        <v>288</v>
      </c>
      <c r="C134" s="225" t="s">
        <v>137</v>
      </c>
      <c r="D134" s="225" t="str">
        <f>'[5]TS BYDem'!D73</f>
        <v>ICPK</v>
      </c>
      <c r="E134" s="225" t="s">
        <v>137</v>
      </c>
      <c r="F134" s="225" t="s">
        <v>137</v>
      </c>
      <c r="G134" s="225" t="s">
        <v>137</v>
      </c>
      <c r="H134" s="225" t="s">
        <v>137</v>
      </c>
      <c r="I134" s="225">
        <v>0</v>
      </c>
      <c r="J134" s="225">
        <f>INDEX('[5]TS BYDem'!$J$10:$J$203,MATCH(D134,'[5]TS BYDem'!$D$10:$D$203,0))</f>
        <v>0.55647663194961794</v>
      </c>
      <c r="K134" s="225">
        <f ca="1">K$133/J$133*J134</f>
        <v>0.57228263361453802</v>
      </c>
      <c r="L134" s="225">
        <f t="shared" ref="L134:AA134" ca="1" si="42">L$133/K$133*K134</f>
        <v>0.58229310133565393</v>
      </c>
      <c r="M134" s="232">
        <f t="shared" ref="M134:M142" si="43">O134</f>
        <v>0.63970000000000005</v>
      </c>
      <c r="N134" s="232">
        <f t="shared" ref="N134:N142" si="44">O134</f>
        <v>0.63970000000000005</v>
      </c>
      <c r="O134" s="232">
        <f>INDEX('[5]TS BYDem'!$O$10:$O$203,MATCH(D134,'[5]TS BYDem'!$D$10:$D$203,0))</f>
        <v>0.63970000000000005</v>
      </c>
      <c r="P134" s="225">
        <f t="shared" ca="1" si="42"/>
        <v>0.64523803886925801</v>
      </c>
      <c r="Q134" s="225">
        <f t="shared" ca="1" si="42"/>
        <v>0.6437687632508835</v>
      </c>
      <c r="R134" s="225">
        <f t="shared" ca="1" si="42"/>
        <v>0.59189203180212024</v>
      </c>
      <c r="S134" s="225">
        <f t="shared" ca="1" si="42"/>
        <v>0.60760197879858668</v>
      </c>
      <c r="T134" s="225">
        <f t="shared" ca="1" si="42"/>
        <v>0.62184265017667861</v>
      </c>
      <c r="U134" s="225">
        <f t="shared" ca="1" si="42"/>
        <v>0.63529217314487652</v>
      </c>
      <c r="V134" s="225">
        <f t="shared" ca="1" si="42"/>
        <v>0.64817659010600726</v>
      </c>
      <c r="W134" s="225">
        <f t="shared" ca="1" si="42"/>
        <v>0.66219121908127232</v>
      </c>
      <c r="X134" s="225">
        <f t="shared" ca="1" si="42"/>
        <v>0.68004856890459386</v>
      </c>
      <c r="Y134" s="225">
        <f t="shared" ca="1" si="42"/>
        <v>0.69756685512367511</v>
      </c>
      <c r="Z134" s="225">
        <f t="shared" ca="1" si="42"/>
        <v>0.7155372261484102</v>
      </c>
      <c r="AA134" s="225">
        <f t="shared" ca="1" si="42"/>
        <v>0.73565500000000039</v>
      </c>
      <c r="AB134" s="225">
        <f t="shared" ref="AA134:AP149" ca="1" si="45">AB$133/AA$133*AA134</f>
        <v>0.75645090106007107</v>
      </c>
      <c r="AC134" s="225">
        <f t="shared" ca="1" si="45"/>
        <v>0.77792492932862223</v>
      </c>
      <c r="AD134" s="225">
        <f t="shared" ca="1" si="45"/>
        <v>0.7987208303886929</v>
      </c>
      <c r="AE134" s="225">
        <f t="shared" ca="1" si="45"/>
        <v>0.82155111307420525</v>
      </c>
      <c r="AF134" s="225">
        <f t="shared" ca="1" si="45"/>
        <v>0.84596369257950554</v>
      </c>
      <c r="AG134" s="225">
        <f t="shared" ca="1" si="45"/>
        <v>0.87286273851590146</v>
      </c>
      <c r="AH134" s="225">
        <f t="shared" ca="1" si="45"/>
        <v>0.90055293286219129</v>
      </c>
      <c r="AI134" s="225">
        <f t="shared" ca="1" si="45"/>
        <v>0.92903427561837504</v>
      </c>
      <c r="AJ134" s="225">
        <f t="shared" ca="1" si="45"/>
        <v>0.95785468197879908</v>
      </c>
      <c r="AK134" s="225">
        <f t="shared" ca="1" si="45"/>
        <v>0.98757925795053048</v>
      </c>
      <c r="AL134" s="225">
        <f t="shared" ca="1" si="45"/>
        <v>1.01888613074205</v>
      </c>
      <c r="AM134" s="225">
        <f t="shared" ca="1" si="45"/>
        <v>1.18672261484099</v>
      </c>
      <c r="AN134" s="225">
        <f t="shared" ca="1" si="45"/>
        <v>1.3923081802120147</v>
      </c>
      <c r="AO134" s="225">
        <f t="shared" ca="1" si="45"/>
        <v>1.7594387161366405</v>
      </c>
      <c r="AP134" s="225">
        <f t="shared" ca="1" si="45"/>
        <v>2.1328607656066052</v>
      </c>
    </row>
    <row r="135" spans="1:42">
      <c r="A135" s="61" t="str">
        <f>'[5]TS BYDem'!A74</f>
        <v/>
      </c>
      <c r="B135" s="225" t="s">
        <v>288</v>
      </c>
      <c r="C135" s="225" t="s">
        <v>137</v>
      </c>
      <c r="D135" s="225" t="str">
        <f>'[5]TS BYDem'!D74</f>
        <v>ICPA</v>
      </c>
      <c r="E135" s="225" t="s">
        <v>137</v>
      </c>
      <c r="F135" s="225" t="s">
        <v>137</v>
      </c>
      <c r="G135" s="225" t="s">
        <v>137</v>
      </c>
      <c r="H135" s="225" t="s">
        <v>137</v>
      </c>
      <c r="I135" s="225">
        <v>0</v>
      </c>
      <c r="J135" s="225">
        <f>INDEX('[5]TS BYDem'!$J$10:$J$203,MATCH(D135,'[5]TS BYDem'!$D$10:$D$203,0))</f>
        <v>0.2086787369811067</v>
      </c>
      <c r="K135" s="225">
        <f t="shared" ref="K135:Z150" ca="1" si="46">K$133/J$133*J135</f>
        <v>0.21460598760545171</v>
      </c>
      <c r="L135" s="225">
        <f t="shared" ca="1" si="46"/>
        <v>0.21835991300087018</v>
      </c>
      <c r="M135" s="232">
        <f t="shared" si="43"/>
        <v>0.2398875</v>
      </c>
      <c r="N135" s="232">
        <f t="shared" si="44"/>
        <v>0.2398875</v>
      </c>
      <c r="O135" s="232">
        <f>INDEX('[5]TS BYDem'!$O$10:$O$203,MATCH(D135,'[5]TS BYDem'!$D$10:$D$203,0))</f>
        <v>0.2398875</v>
      </c>
      <c r="P135" s="225">
        <f t="shared" ca="1" si="46"/>
        <v>0.24196426457597173</v>
      </c>
      <c r="Q135" s="225">
        <f t="shared" ca="1" si="46"/>
        <v>0.24141328621908126</v>
      </c>
      <c r="R135" s="225">
        <f t="shared" ca="1" si="46"/>
        <v>0.22195951192579502</v>
      </c>
      <c r="S135" s="225">
        <f t="shared" ca="1" si="46"/>
        <v>0.22785074204946992</v>
      </c>
      <c r="T135" s="225">
        <f t="shared" ca="1" si="46"/>
        <v>0.23319099381625438</v>
      </c>
      <c r="U135" s="225">
        <f t="shared" ca="1" si="46"/>
        <v>0.23823456492932857</v>
      </c>
      <c r="V135" s="225">
        <f t="shared" ca="1" si="46"/>
        <v>0.24306622128975261</v>
      </c>
      <c r="W135" s="225">
        <f t="shared" ca="1" si="46"/>
        <v>0.248321707155477</v>
      </c>
      <c r="X135" s="225">
        <f t="shared" ca="1" si="46"/>
        <v>0.25501821333922253</v>
      </c>
      <c r="Y135" s="225">
        <f t="shared" ca="1" si="46"/>
        <v>0.261587570671378</v>
      </c>
      <c r="Z135" s="225">
        <f t="shared" ca="1" si="46"/>
        <v>0.26832645980565367</v>
      </c>
      <c r="AA135" s="225">
        <f t="shared" ca="1" si="45"/>
        <v>0.27587062499999998</v>
      </c>
      <c r="AB135" s="225">
        <f t="shared" ca="1" si="45"/>
        <v>0.28366908789752648</v>
      </c>
      <c r="AC135" s="225">
        <f t="shared" ca="1" si="45"/>
        <v>0.29172184849823318</v>
      </c>
      <c r="AD135" s="225">
        <f t="shared" ca="1" si="45"/>
        <v>0.29952031139575969</v>
      </c>
      <c r="AE135" s="225">
        <f t="shared" ca="1" si="45"/>
        <v>0.30808166740282683</v>
      </c>
      <c r="AF135" s="225">
        <f t="shared" ca="1" si="45"/>
        <v>0.31723638471731441</v>
      </c>
      <c r="AG135" s="225">
        <f t="shared" ca="1" si="45"/>
        <v>0.32732352694346289</v>
      </c>
      <c r="AH135" s="225">
        <f t="shared" ca="1" si="45"/>
        <v>0.33770734982332157</v>
      </c>
      <c r="AI135" s="225">
        <f t="shared" ca="1" si="45"/>
        <v>0.34838785335689043</v>
      </c>
      <c r="AJ135" s="225">
        <f t="shared" ca="1" si="45"/>
        <v>0.35919550574204945</v>
      </c>
      <c r="AK135" s="225">
        <f t="shared" ca="1" si="45"/>
        <v>0.37034222173144871</v>
      </c>
      <c r="AL135" s="225">
        <f t="shared" ca="1" si="45"/>
        <v>0.38208229902826851</v>
      </c>
      <c r="AM135" s="225">
        <f t="shared" ca="1" si="45"/>
        <v>0.44502098056537093</v>
      </c>
      <c r="AN135" s="225">
        <f t="shared" ca="1" si="45"/>
        <v>0.52211556757950517</v>
      </c>
      <c r="AO135" s="225">
        <f t="shared" ca="1" si="45"/>
        <v>0.65978951855123968</v>
      </c>
      <c r="AP135" s="225">
        <f t="shared" ca="1" si="45"/>
        <v>0.79982278710247634</v>
      </c>
    </row>
    <row r="136" spans="1:42">
      <c r="A136" s="61" t="str">
        <f>'[5]TS BYDem'!A75</f>
        <v/>
      </c>
      <c r="B136" s="225" t="s">
        <v>288</v>
      </c>
      <c r="C136" s="225" t="s">
        <v>137</v>
      </c>
      <c r="D136" s="225" t="str">
        <f>'[5]TS BYDem'!D75</f>
        <v>ICPL</v>
      </c>
      <c r="E136" s="225" t="s">
        <v>137</v>
      </c>
      <c r="F136" s="225" t="s">
        <v>137</v>
      </c>
      <c r="G136" s="225" t="s">
        <v>137</v>
      </c>
      <c r="H136" s="225" t="s">
        <v>137</v>
      </c>
      <c r="I136" s="225">
        <v>0</v>
      </c>
      <c r="J136" s="225">
        <f>INDEX('[5]TS BYDem'!$J$10:$J$203,MATCH(D136,'[5]TS BYDem'!$D$10:$D$203,0))</f>
        <v>0.3338859791697707</v>
      </c>
      <c r="K136" s="225">
        <f t="shared" ca="1" si="46"/>
        <v>0.34336958016872271</v>
      </c>
      <c r="L136" s="225">
        <f t="shared" ca="1" si="46"/>
        <v>0.34937586080139227</v>
      </c>
      <c r="M136" s="232">
        <f t="shared" si="43"/>
        <v>0.38381999999999999</v>
      </c>
      <c r="N136" s="232">
        <f t="shared" si="44"/>
        <v>0.38381999999999999</v>
      </c>
      <c r="O136" s="232">
        <f>INDEX('[5]TS BYDem'!$O$10:$O$203,MATCH(D136,'[5]TS BYDem'!$D$10:$D$203,0))</f>
        <v>0.38381999999999999</v>
      </c>
      <c r="P136" s="225">
        <f t="shared" ca="1" si="46"/>
        <v>0.38714282332155475</v>
      </c>
      <c r="Q136" s="225">
        <f t="shared" ca="1" si="46"/>
        <v>0.38626125795053001</v>
      </c>
      <c r="R136" s="225">
        <f t="shared" ca="1" si="46"/>
        <v>0.35513521908127205</v>
      </c>
      <c r="S136" s="225">
        <f t="shared" ca="1" si="46"/>
        <v>0.36456118727915188</v>
      </c>
      <c r="T136" s="225">
        <f t="shared" ca="1" si="46"/>
        <v>0.37310559010600702</v>
      </c>
      <c r="U136" s="225">
        <f t="shared" ca="1" si="46"/>
        <v>0.38117530388692572</v>
      </c>
      <c r="V136" s="225">
        <f t="shared" ca="1" si="46"/>
        <v>0.38890595406360418</v>
      </c>
      <c r="W136" s="225">
        <f t="shared" ca="1" si="46"/>
        <v>0.39731473144876317</v>
      </c>
      <c r="X136" s="225">
        <f t="shared" ca="1" si="46"/>
        <v>0.40802914134275609</v>
      </c>
      <c r="Y136" s="225">
        <f t="shared" ca="1" si="46"/>
        <v>0.41854011307420486</v>
      </c>
      <c r="Z136" s="225">
        <f t="shared" ca="1" si="46"/>
        <v>0.42932233568904593</v>
      </c>
      <c r="AA136" s="225">
        <f t="shared" ca="1" si="45"/>
        <v>0.44139300000000004</v>
      </c>
      <c r="AB136" s="225">
        <f t="shared" ca="1" si="45"/>
        <v>0.45387054063604243</v>
      </c>
      <c r="AC136" s="225">
        <f t="shared" ca="1" si="45"/>
        <v>0.46675495759717311</v>
      </c>
      <c r="AD136" s="225">
        <f t="shared" ca="1" si="45"/>
        <v>0.47923249823321551</v>
      </c>
      <c r="AE136" s="225">
        <f t="shared" ca="1" si="45"/>
        <v>0.49293066784452294</v>
      </c>
      <c r="AF136" s="225">
        <f t="shared" ca="1" si="45"/>
        <v>0.5075782155477031</v>
      </c>
      <c r="AG136" s="225">
        <f t="shared" ca="1" si="45"/>
        <v>0.52371764310954072</v>
      </c>
      <c r="AH136" s="225">
        <f t="shared" ca="1" si="45"/>
        <v>0.54033175971731462</v>
      </c>
      <c r="AI136" s="225">
        <f t="shared" ca="1" si="45"/>
        <v>0.5574205653710248</v>
      </c>
      <c r="AJ136" s="225">
        <f t="shared" ca="1" si="45"/>
        <v>0.57471280918727929</v>
      </c>
      <c r="AK136" s="225">
        <f t="shared" ca="1" si="45"/>
        <v>0.59254755477031806</v>
      </c>
      <c r="AL136" s="225">
        <f t="shared" ca="1" si="45"/>
        <v>0.61133167844522984</v>
      </c>
      <c r="AM136" s="225">
        <f t="shared" ca="1" si="45"/>
        <v>0.71203356890459368</v>
      </c>
      <c r="AN136" s="225">
        <f t="shared" ca="1" si="45"/>
        <v>0.83538490812720845</v>
      </c>
      <c r="AO136" s="225">
        <f t="shared" ca="1" si="45"/>
        <v>1.0556632296819839</v>
      </c>
      <c r="AP136" s="225">
        <f t="shared" ca="1" si="45"/>
        <v>1.2797164593639625</v>
      </c>
    </row>
    <row r="137" spans="1:42">
      <c r="A137" s="61" t="str">
        <f>'[5]TS BYDem'!A76</f>
        <v/>
      </c>
      <c r="B137" s="225" t="s">
        <v>288</v>
      </c>
      <c r="C137" s="225" t="s">
        <v>137</v>
      </c>
      <c r="D137" s="225" t="str">
        <f>'[5]TS BYDem'!D76</f>
        <v>ICPC</v>
      </c>
      <c r="E137" s="225" t="s">
        <v>137</v>
      </c>
      <c r="F137" s="225" t="s">
        <v>137</v>
      </c>
      <c r="G137" s="225" t="s">
        <v>137</v>
      </c>
      <c r="H137" s="225" t="s">
        <v>137</v>
      </c>
      <c r="I137" s="225">
        <v>0</v>
      </c>
      <c r="J137" s="225">
        <f>INDEX('[5]TS BYDem'!$J$10:$J$203,MATCH(D137,'[5]TS BYDem'!$D$10:$D$203,0))</f>
        <v>2.7823831597480893</v>
      </c>
      <c r="K137" s="225">
        <f ca="1">K$133/J$133*J137</f>
        <v>2.8614131680726893</v>
      </c>
      <c r="L137" s="225">
        <f t="shared" ca="1" si="46"/>
        <v>2.9114655066782689</v>
      </c>
      <c r="M137" s="232">
        <f t="shared" si="43"/>
        <v>3.1985000000000001</v>
      </c>
      <c r="N137" s="232">
        <f t="shared" si="44"/>
        <v>3.1985000000000001</v>
      </c>
      <c r="O137" s="232">
        <f>INDEX('[5]TS BYDem'!$O$10:$O$203,MATCH(D137,'[5]TS BYDem'!$D$10:$D$203,0))</f>
        <v>3.1985000000000001</v>
      </c>
      <c r="P137" s="225">
        <f t="shared" ca="1" si="46"/>
        <v>3.2261901943462901</v>
      </c>
      <c r="Q137" s="225">
        <f t="shared" ca="1" si="46"/>
        <v>3.2188438162544171</v>
      </c>
      <c r="R137" s="225">
        <f t="shared" ca="1" si="46"/>
        <v>2.9594601590106007</v>
      </c>
      <c r="S137" s="225">
        <f t="shared" ca="1" si="46"/>
        <v>3.0380098939929328</v>
      </c>
      <c r="T137" s="225">
        <f t="shared" ca="1" si="46"/>
        <v>3.1092132508833923</v>
      </c>
      <c r="U137" s="225">
        <f t="shared" ca="1" si="46"/>
        <v>3.1764608657243816</v>
      </c>
      <c r="V137" s="225">
        <f t="shared" ca="1" si="46"/>
        <v>3.2408829505300356</v>
      </c>
      <c r="W137" s="225">
        <f t="shared" ca="1" si="46"/>
        <v>3.3109560954063606</v>
      </c>
      <c r="X137" s="225">
        <f t="shared" ca="1" si="46"/>
        <v>3.400242844522968</v>
      </c>
      <c r="Y137" s="225">
        <f t="shared" ca="1" si="46"/>
        <v>3.4878342756183742</v>
      </c>
      <c r="Z137" s="225">
        <f t="shared" ca="1" si="46"/>
        <v>3.5776861307420496</v>
      </c>
      <c r="AA137" s="225">
        <f t="shared" ca="1" si="45"/>
        <v>3.6782750000000006</v>
      </c>
      <c r="AB137" s="225">
        <f t="shared" ca="1" si="45"/>
        <v>3.782254505300354</v>
      </c>
      <c r="AC137" s="225">
        <f t="shared" ca="1" si="45"/>
        <v>3.8896246466431097</v>
      </c>
      <c r="AD137" s="225">
        <f t="shared" ca="1" si="45"/>
        <v>3.9936041519434631</v>
      </c>
      <c r="AE137" s="225">
        <f t="shared" ca="1" si="45"/>
        <v>4.1077555653710247</v>
      </c>
      <c r="AF137" s="225">
        <f t="shared" ca="1" si="45"/>
        <v>4.2298184628975264</v>
      </c>
      <c r="AG137" s="225">
        <f t="shared" ca="1" si="45"/>
        <v>4.3643136925795059</v>
      </c>
      <c r="AH137" s="225">
        <f t="shared" ca="1" si="45"/>
        <v>4.5027646643109547</v>
      </c>
      <c r="AI137" s="225">
        <f t="shared" ca="1" si="45"/>
        <v>4.6451713780918729</v>
      </c>
      <c r="AJ137" s="225">
        <f t="shared" ca="1" si="45"/>
        <v>4.7892734098939931</v>
      </c>
      <c r="AK137" s="225">
        <f t="shared" ca="1" si="45"/>
        <v>4.9378962897526497</v>
      </c>
      <c r="AL137" s="225">
        <f t="shared" ca="1" si="45"/>
        <v>5.0944306537102477</v>
      </c>
      <c r="AM137" s="225">
        <f t="shared" ca="1" si="45"/>
        <v>5.9336130742049464</v>
      </c>
      <c r="AN137" s="225">
        <f t="shared" ca="1" si="45"/>
        <v>6.9615409010600695</v>
      </c>
      <c r="AO137" s="225">
        <f t="shared" ca="1" si="45"/>
        <v>8.7971935806831976</v>
      </c>
      <c r="AP137" s="225">
        <f t="shared" ca="1" si="45"/>
        <v>10.66430382803302</v>
      </c>
    </row>
    <row r="138" spans="1:42">
      <c r="A138" s="61" t="str">
        <f>'[5]TS BYDem'!A77</f>
        <v/>
      </c>
      <c r="B138" s="225" t="s">
        <v>288</v>
      </c>
      <c r="C138" s="225" t="s">
        <v>137</v>
      </c>
      <c r="D138" s="225" t="str">
        <f>'[5]TS BYDem'!D77</f>
        <v>ICPH</v>
      </c>
      <c r="E138" s="225" t="s">
        <v>137</v>
      </c>
      <c r="F138" s="225" t="s">
        <v>137</v>
      </c>
      <c r="G138" s="225" t="s">
        <v>137</v>
      </c>
      <c r="H138" s="225" t="s">
        <v>137</v>
      </c>
      <c r="I138" s="225">
        <v>0</v>
      </c>
      <c r="J138" s="225">
        <f>INDEX('[5]TS BYDem'!$J$10:$J$203,MATCH(D138,'[5]TS BYDem'!$D$10:$D$203,0))</f>
        <v>0.5008289687546561</v>
      </c>
      <c r="K138" s="225">
        <f t="shared" ref="K138:O153" ca="1" si="47">K$133/J$133*J138</f>
        <v>0.51505437025308409</v>
      </c>
      <c r="L138" s="225">
        <f t="shared" ca="1" si="46"/>
        <v>0.52406379120208846</v>
      </c>
      <c r="M138" s="232">
        <f t="shared" si="43"/>
        <v>0.57573000000000008</v>
      </c>
      <c r="N138" s="232">
        <f t="shared" si="44"/>
        <v>0.57573000000000008</v>
      </c>
      <c r="O138" s="232">
        <f>INDEX('[5]TS BYDem'!$O$10:$O$203,MATCH(D138,'[5]TS BYDem'!$D$10:$D$203,0))</f>
        <v>0.57573000000000008</v>
      </c>
      <c r="P138" s="225">
        <f t="shared" ca="1" si="46"/>
        <v>0.58071423498233221</v>
      </c>
      <c r="Q138" s="225">
        <f t="shared" ca="1" si="46"/>
        <v>0.57939188692579513</v>
      </c>
      <c r="R138" s="225">
        <f t="shared" ca="1" si="46"/>
        <v>0.5327028286219081</v>
      </c>
      <c r="S138" s="225">
        <f t="shared" ca="1" si="46"/>
        <v>0.54684178091872793</v>
      </c>
      <c r="T138" s="225">
        <f t="shared" ca="1" si="46"/>
        <v>0.55965838515901056</v>
      </c>
      <c r="U138" s="225">
        <f t="shared" ca="1" si="46"/>
        <v>0.57176295583038861</v>
      </c>
      <c r="V138" s="225">
        <f t="shared" ca="1" si="46"/>
        <v>0.58335893109540626</v>
      </c>
      <c r="W138" s="225">
        <f t="shared" ca="1" si="46"/>
        <v>0.59597209717314481</v>
      </c>
      <c r="X138" s="225">
        <f t="shared" ca="1" si="46"/>
        <v>0.61204371201413421</v>
      </c>
      <c r="Y138" s="225">
        <f t="shared" ca="1" si="46"/>
        <v>0.62781016961130731</v>
      </c>
      <c r="Z138" s="225">
        <f t="shared" ca="1" si="46"/>
        <v>0.64398350353356892</v>
      </c>
      <c r="AA138" s="225">
        <f t="shared" ca="1" si="45"/>
        <v>0.66208950000000011</v>
      </c>
      <c r="AB138" s="225">
        <f t="shared" ca="1" si="45"/>
        <v>0.68080581095406367</v>
      </c>
      <c r="AC138" s="225">
        <f t="shared" ca="1" si="45"/>
        <v>0.70013243639575973</v>
      </c>
      <c r="AD138" s="225">
        <f t="shared" ca="1" si="45"/>
        <v>0.71884874734982329</v>
      </c>
      <c r="AE138" s="225">
        <f t="shared" ca="1" si="45"/>
        <v>0.73939600176678444</v>
      </c>
      <c r="AF138" s="225">
        <f t="shared" ca="1" si="45"/>
        <v>0.76136732332155466</v>
      </c>
      <c r="AG138" s="225">
        <f t="shared" ca="1" si="45"/>
        <v>0.78557646466431097</v>
      </c>
      <c r="AH138" s="225">
        <f t="shared" ca="1" si="45"/>
        <v>0.81049763957597176</v>
      </c>
      <c r="AI138" s="225">
        <f t="shared" ca="1" si="45"/>
        <v>0.83613084805653715</v>
      </c>
      <c r="AJ138" s="225">
        <f t="shared" ca="1" si="45"/>
        <v>0.86206921378091883</v>
      </c>
      <c r="AK138" s="225">
        <f t="shared" ca="1" si="45"/>
        <v>0.8888213321554771</v>
      </c>
      <c r="AL138" s="225">
        <f t="shared" ca="1" si="45"/>
        <v>0.91699751766784465</v>
      </c>
      <c r="AM138" s="225">
        <f t="shared" ca="1" si="45"/>
        <v>1.0680503533568906</v>
      </c>
      <c r="AN138" s="225">
        <f t="shared" ca="1" si="45"/>
        <v>1.2530773621908129</v>
      </c>
      <c r="AO138" s="225">
        <f t="shared" ca="1" si="45"/>
        <v>1.583494844522976</v>
      </c>
      <c r="AP138" s="225">
        <f t="shared" ca="1" si="45"/>
        <v>1.919574689045944</v>
      </c>
    </row>
    <row r="139" spans="1:42">
      <c r="A139" s="61" t="str">
        <f>'[5]TS BYDem'!A78</f>
        <v/>
      </c>
      <c r="B139" s="225" t="s">
        <v>288</v>
      </c>
      <c r="C139" s="225" t="s">
        <v>137</v>
      </c>
      <c r="D139" s="225" t="str">
        <f>'[5]TS BYDem'!D78</f>
        <v>ICPP</v>
      </c>
      <c r="E139" s="225" t="s">
        <v>137</v>
      </c>
      <c r="F139" s="225" t="s">
        <v>137</v>
      </c>
      <c r="G139" s="225" t="s">
        <v>137</v>
      </c>
      <c r="H139" s="225" t="s">
        <v>137</v>
      </c>
      <c r="I139" s="225">
        <v>0</v>
      </c>
      <c r="J139" s="225">
        <f>INDEX('[5]TS BYDem'!$J$10:$J$203,MATCH(D139,'[5]TS BYDem'!$D$10:$D$203,0))</f>
        <v>7.7906728472946494</v>
      </c>
      <c r="K139" s="225">
        <f t="shared" ca="1" si="47"/>
        <v>8.0119568706035302</v>
      </c>
      <c r="L139" s="225">
        <f t="shared" ca="1" si="46"/>
        <v>8.1521034186991539</v>
      </c>
      <c r="M139" s="232">
        <f t="shared" si="43"/>
        <v>8.9558</v>
      </c>
      <c r="N139" s="232">
        <f t="shared" si="44"/>
        <v>8.9558</v>
      </c>
      <c r="O139" s="232">
        <f>INDEX('[5]TS BYDem'!$O$10:$O$203,MATCH(D139,'[5]TS BYDem'!$D$10:$D$203,0))</f>
        <v>8.9558</v>
      </c>
      <c r="P139" s="225">
        <f t="shared" ca="1" si="46"/>
        <v>9.0333325441696122</v>
      </c>
      <c r="Q139" s="225">
        <f t="shared" ca="1" si="46"/>
        <v>9.012762685512369</v>
      </c>
      <c r="R139" s="225">
        <f t="shared" ca="1" si="46"/>
        <v>8.2864884452296828</v>
      </c>
      <c r="S139" s="225">
        <f t="shared" ca="1" si="46"/>
        <v>8.5064277031802131</v>
      </c>
      <c r="T139" s="225">
        <f t="shared" ca="1" si="46"/>
        <v>8.7057971024734986</v>
      </c>
      <c r="U139" s="225">
        <f t="shared" ca="1" si="46"/>
        <v>8.8940904240282688</v>
      </c>
      <c r="V139" s="225">
        <f t="shared" ca="1" si="46"/>
        <v>9.0744722614841002</v>
      </c>
      <c r="W139" s="225">
        <f t="shared" ca="1" si="46"/>
        <v>9.2706770671378109</v>
      </c>
      <c r="X139" s="225">
        <f t="shared" ca="1" si="46"/>
        <v>9.5206799646643123</v>
      </c>
      <c r="Y139" s="225">
        <f t="shared" ca="1" si="46"/>
        <v>9.7659359717314498</v>
      </c>
      <c r="Z139" s="225">
        <f t="shared" ca="1" si="46"/>
        <v>10.01752116607774</v>
      </c>
      <c r="AA139" s="225">
        <f t="shared" ca="1" si="45"/>
        <v>10.299170000000004</v>
      </c>
      <c r="AB139" s="225">
        <f t="shared" ca="1" si="45"/>
        <v>10.590312614840993</v>
      </c>
      <c r="AC139" s="225">
        <f t="shared" ca="1" si="45"/>
        <v>10.890949010600709</v>
      </c>
      <c r="AD139" s="225">
        <f t="shared" ca="1" si="45"/>
        <v>11.182091625441698</v>
      </c>
      <c r="AE139" s="225">
        <f t="shared" ca="1" si="45"/>
        <v>11.501715583038871</v>
      </c>
      <c r="AF139" s="225">
        <f t="shared" ca="1" si="45"/>
        <v>11.843491696113075</v>
      </c>
      <c r="AG139" s="225">
        <f t="shared" ca="1" si="45"/>
        <v>12.220078339222619</v>
      </c>
      <c r="AH139" s="225">
        <f t="shared" ca="1" si="45"/>
        <v>12.607741060070676</v>
      </c>
      <c r="AI139" s="225">
        <f t="shared" ca="1" si="45"/>
        <v>13.006479858657249</v>
      </c>
      <c r="AJ139" s="225">
        <f t="shared" ca="1" si="45"/>
        <v>13.409965547703186</v>
      </c>
      <c r="AK139" s="225">
        <f t="shared" ca="1" si="45"/>
        <v>13.826109611307425</v>
      </c>
      <c r="AL139" s="225">
        <f t="shared" ca="1" si="45"/>
        <v>14.264405830388698</v>
      </c>
      <c r="AM139" s="225">
        <f t="shared" ca="1" si="45"/>
        <v>16.614116607773855</v>
      </c>
      <c r="AN139" s="225">
        <f t="shared" ca="1" si="45"/>
        <v>19.492314522968201</v>
      </c>
      <c r="AO139" s="225">
        <f t="shared" ca="1" si="45"/>
        <v>24.632142025912959</v>
      </c>
      <c r="AP139" s="225">
        <f t="shared" ca="1" si="45"/>
        <v>29.86005071849246</v>
      </c>
    </row>
    <row r="140" spans="1:42">
      <c r="A140" s="61" t="str">
        <f>'[5]TS BYDem'!A79</f>
        <v/>
      </c>
      <c r="B140" s="225" t="s">
        <v>288</v>
      </c>
      <c r="C140" s="225" t="s">
        <v>137</v>
      </c>
      <c r="D140" s="225" t="str">
        <f>'[5]TS BYDem'!D79</f>
        <v>ICPF</v>
      </c>
      <c r="E140" s="225" t="s">
        <v>137</v>
      </c>
      <c r="F140" s="225" t="s">
        <v>137</v>
      </c>
      <c r="G140" s="225" t="s">
        <v>137</v>
      </c>
      <c r="H140" s="225" t="s">
        <v>137</v>
      </c>
      <c r="I140" s="225">
        <v>0</v>
      </c>
      <c r="J140" s="225">
        <f>INDEX('[5]TS BYDem'!$J$10:$J$203,MATCH(D140,'[5]TS BYDem'!$D$10:$D$203,0))</f>
        <v>1.7807252222387775</v>
      </c>
      <c r="K140" s="225">
        <f t="shared" ca="1" si="47"/>
        <v>1.8313044275665216</v>
      </c>
      <c r="L140" s="225">
        <f t="shared" ca="1" si="46"/>
        <v>1.8633379242740926</v>
      </c>
      <c r="M140" s="232">
        <f t="shared" si="43"/>
        <v>2.0470400000000004</v>
      </c>
      <c r="N140" s="232">
        <f t="shared" si="44"/>
        <v>2.0470400000000004</v>
      </c>
      <c r="O140" s="232">
        <f>INDEX('[5]TS BYDem'!$O$10:$O$203,MATCH(D140,'[5]TS BYDem'!$D$10:$D$203,0))</f>
        <v>2.0470400000000004</v>
      </c>
      <c r="P140" s="225">
        <f t="shared" ca="1" si="46"/>
        <v>2.0647617243816261</v>
      </c>
      <c r="Q140" s="225">
        <f t="shared" ca="1" si="46"/>
        <v>2.0600600424028275</v>
      </c>
      <c r="R140" s="225">
        <f t="shared" ca="1" si="46"/>
        <v>1.8940545017667849</v>
      </c>
      <c r="S140" s="225">
        <f t="shared" ca="1" si="46"/>
        <v>1.9443263321554776</v>
      </c>
      <c r="T140" s="225">
        <f t="shared" ca="1" si="46"/>
        <v>1.9898964805653716</v>
      </c>
      <c r="U140" s="225">
        <f t="shared" ca="1" si="46"/>
        <v>2.0329349540636046</v>
      </c>
      <c r="V140" s="225">
        <f t="shared" ca="1" si="46"/>
        <v>2.0741650883392229</v>
      </c>
      <c r="W140" s="225">
        <f t="shared" ca="1" si="46"/>
        <v>2.119011901060071</v>
      </c>
      <c r="X140" s="225">
        <f t="shared" ca="1" si="46"/>
        <v>2.1761554204946996</v>
      </c>
      <c r="Y140" s="225">
        <f t="shared" ca="1" si="46"/>
        <v>2.2322139363957594</v>
      </c>
      <c r="Z140" s="225">
        <f t="shared" ca="1" si="46"/>
        <v>2.2897191236749115</v>
      </c>
      <c r="AA140" s="225">
        <f t="shared" ca="1" si="45"/>
        <v>2.3540960000000002</v>
      </c>
      <c r="AB140" s="225">
        <f t="shared" ca="1" si="45"/>
        <v>2.4206428833922264</v>
      </c>
      <c r="AC140" s="225">
        <f t="shared" ca="1" si="45"/>
        <v>2.4893597738515902</v>
      </c>
      <c r="AD140" s="225">
        <f t="shared" ca="1" si="45"/>
        <v>2.5559066572438165</v>
      </c>
      <c r="AE140" s="225">
        <f t="shared" ca="1" si="45"/>
        <v>2.6289635618374563</v>
      </c>
      <c r="AF140" s="225">
        <f t="shared" ca="1" si="45"/>
        <v>2.7070838162544173</v>
      </c>
      <c r="AG140" s="225">
        <f t="shared" ca="1" si="45"/>
        <v>2.7931607632508846</v>
      </c>
      <c r="AH140" s="225">
        <f t="shared" ca="1" si="45"/>
        <v>2.881769385159012</v>
      </c>
      <c r="AI140" s="225">
        <f t="shared" ca="1" si="45"/>
        <v>2.9729096819788001</v>
      </c>
      <c r="AJ140" s="225">
        <f t="shared" ca="1" si="45"/>
        <v>3.065134982332157</v>
      </c>
      <c r="AK140" s="225">
        <f t="shared" ca="1" si="45"/>
        <v>3.1602536254416975</v>
      </c>
      <c r="AL140" s="225">
        <f t="shared" ca="1" si="45"/>
        <v>3.2604356183745602</v>
      </c>
      <c r="AM140" s="225">
        <f t="shared" ca="1" si="45"/>
        <v>3.7975123674911679</v>
      </c>
      <c r="AN140" s="225">
        <f t="shared" ca="1" si="45"/>
        <v>4.4553861766784468</v>
      </c>
      <c r="AO140" s="225">
        <f t="shared" ca="1" si="45"/>
        <v>5.6302038916372492</v>
      </c>
      <c r="AP140" s="225">
        <f t="shared" ca="1" si="45"/>
        <v>6.8251544499411354</v>
      </c>
    </row>
    <row r="141" spans="1:42">
      <c r="A141" s="61" t="str">
        <f>'[5]TS BYDem'!A80</f>
        <v/>
      </c>
      <c r="B141" s="225" t="s">
        <v>288</v>
      </c>
      <c r="C141" s="225" t="s">
        <v>137</v>
      </c>
      <c r="D141" s="225" t="str">
        <f>'[5]TS BYDem'!D80</f>
        <v>ICPO</v>
      </c>
      <c r="E141" s="225" t="s">
        <v>137</v>
      </c>
      <c r="F141" s="225" t="s">
        <v>137</v>
      </c>
      <c r="G141" s="225" t="s">
        <v>137</v>
      </c>
      <c r="H141" s="225" t="s">
        <v>137</v>
      </c>
      <c r="I141" s="225">
        <v>0</v>
      </c>
      <c r="J141" s="225">
        <f>INDEX('[5]TS BYDem'!$J$10:$J$203,MATCH(D141,'[5]TS BYDem'!$D$10:$D$203,0))</f>
        <v>4.4518130555969435</v>
      </c>
      <c r="K141" s="225">
        <f t="shared" ca="1" si="47"/>
        <v>4.5782610689163041</v>
      </c>
      <c r="L141" s="225">
        <f t="shared" ca="1" si="46"/>
        <v>4.6583448106852314</v>
      </c>
      <c r="M141" s="232">
        <f t="shared" si="43"/>
        <v>5.1176000000000004</v>
      </c>
      <c r="N141" s="232">
        <f t="shared" si="44"/>
        <v>5.1176000000000004</v>
      </c>
      <c r="O141" s="232">
        <f>INDEX('[5]TS BYDem'!$O$10:$O$203,MATCH(D141,'[5]TS BYDem'!$D$10:$D$203,0))</f>
        <v>5.1176000000000004</v>
      </c>
      <c r="P141" s="225">
        <f t="shared" ca="1" si="46"/>
        <v>5.1619043109540641</v>
      </c>
      <c r="Q141" s="225">
        <f t="shared" ca="1" si="46"/>
        <v>5.150150106007068</v>
      </c>
      <c r="R141" s="225">
        <f t="shared" ca="1" si="46"/>
        <v>4.735136254416962</v>
      </c>
      <c r="S141" s="225">
        <f t="shared" ca="1" si="46"/>
        <v>4.8608158303886935</v>
      </c>
      <c r="T141" s="225">
        <f t="shared" ca="1" si="46"/>
        <v>4.9747412014134289</v>
      </c>
      <c r="U141" s="225">
        <f t="shared" ca="1" si="46"/>
        <v>5.0823373851590121</v>
      </c>
      <c r="V141" s="225">
        <f t="shared" ca="1" si="46"/>
        <v>5.185412720848058</v>
      </c>
      <c r="W141" s="225">
        <f t="shared" ca="1" si="46"/>
        <v>5.2975297526501786</v>
      </c>
      <c r="X141" s="225">
        <f t="shared" ca="1" si="46"/>
        <v>5.4403885512367509</v>
      </c>
      <c r="Y141" s="225">
        <f t="shared" ca="1" si="46"/>
        <v>5.5805348409894009</v>
      </c>
      <c r="Z141" s="225">
        <f t="shared" ca="1" si="46"/>
        <v>5.7242978091872816</v>
      </c>
      <c r="AA141" s="225">
        <f t="shared" ca="1" si="45"/>
        <v>5.8852400000000031</v>
      </c>
      <c r="AB141" s="225">
        <f t="shared" ca="1" si="45"/>
        <v>6.0516072084805685</v>
      </c>
      <c r="AC141" s="225">
        <f t="shared" ca="1" si="45"/>
        <v>6.2233994346289778</v>
      </c>
      <c r="AD141" s="225">
        <f t="shared" ca="1" si="45"/>
        <v>6.3897666431095432</v>
      </c>
      <c r="AE141" s="225">
        <f t="shared" ca="1" si="45"/>
        <v>6.572408904593642</v>
      </c>
      <c r="AF141" s="225">
        <f t="shared" ca="1" si="45"/>
        <v>6.7677095406360444</v>
      </c>
      <c r="AG141" s="225">
        <f t="shared" ca="1" si="45"/>
        <v>6.9829019081272117</v>
      </c>
      <c r="AH141" s="225">
        <f t="shared" ca="1" si="45"/>
        <v>7.2044234628975303</v>
      </c>
      <c r="AI141" s="225">
        <f t="shared" ca="1" si="45"/>
        <v>7.4322742049470003</v>
      </c>
      <c r="AJ141" s="225">
        <f t="shared" ca="1" si="45"/>
        <v>7.6628374558303927</v>
      </c>
      <c r="AK141" s="225">
        <f t="shared" ca="1" si="45"/>
        <v>7.9006340636042438</v>
      </c>
      <c r="AL141" s="225">
        <f t="shared" ca="1" si="45"/>
        <v>8.1510890459364003</v>
      </c>
      <c r="AM141" s="225">
        <f t="shared" ca="1" si="45"/>
        <v>9.4937809187279196</v>
      </c>
      <c r="AN141" s="225">
        <f t="shared" ca="1" si="45"/>
        <v>11.138465441696118</v>
      </c>
      <c r="AO141" s="225">
        <f t="shared" ca="1" si="45"/>
        <v>14.075509729093124</v>
      </c>
      <c r="AP141" s="225">
        <f t="shared" ca="1" si="45"/>
        <v>17.062886124852842</v>
      </c>
    </row>
    <row r="142" spans="1:42">
      <c r="A142" s="61" t="str">
        <f>'[5]TS BYDem'!A81</f>
        <v/>
      </c>
      <c r="B142" s="225" t="s">
        <v>288</v>
      </c>
      <c r="C142" s="225" t="s">
        <v>137</v>
      </c>
      <c r="D142" s="225" t="str">
        <f>'[5]TS BYDem'!D81</f>
        <v>ICPE</v>
      </c>
      <c r="E142" s="225" t="s">
        <v>137</v>
      </c>
      <c r="F142" s="225" t="s">
        <v>137</v>
      </c>
      <c r="G142" s="225" t="s">
        <v>137</v>
      </c>
      <c r="H142" s="225" t="s">
        <v>137</v>
      </c>
      <c r="I142" s="225">
        <v>0</v>
      </c>
      <c r="J142" s="225">
        <f>INDEX('[5]TS BYDem'!$J$10:$J$203,MATCH(D142,'[5]TS BYDem'!$D$10:$D$203,0))</f>
        <v>1.6916889611268384</v>
      </c>
      <c r="K142" s="225">
        <f t="shared" ca="1" si="47"/>
        <v>1.7397392061881953</v>
      </c>
      <c r="L142" s="225">
        <f t="shared" ca="1" si="46"/>
        <v>1.7701710280603877</v>
      </c>
      <c r="M142" s="232">
        <f t="shared" si="43"/>
        <v>1.9446880000000002</v>
      </c>
      <c r="N142" s="232">
        <f t="shared" si="44"/>
        <v>1.9446880000000002</v>
      </c>
      <c r="O142" s="232">
        <f>INDEX('[5]TS BYDem'!$O$10:$O$203,MATCH(D142,'[5]TS BYDem'!$D$10:$D$203,0))</f>
        <v>1.9446880000000002</v>
      </c>
      <c r="P142" s="225">
        <f t="shared" ca="1" si="46"/>
        <v>1.9615236381625445</v>
      </c>
      <c r="Q142" s="225">
        <f t="shared" ca="1" si="46"/>
        <v>1.9570570402826859</v>
      </c>
      <c r="R142" s="225">
        <f t="shared" ca="1" si="46"/>
        <v>1.7993517766784455</v>
      </c>
      <c r="S142" s="225">
        <f t="shared" ca="1" si="46"/>
        <v>1.8471100155477034</v>
      </c>
      <c r="T142" s="225">
        <f t="shared" ca="1" si="46"/>
        <v>1.8904016565371027</v>
      </c>
      <c r="U142" s="225">
        <f t="shared" ca="1" si="46"/>
        <v>1.9312882063604242</v>
      </c>
      <c r="V142" s="225">
        <f t="shared" ca="1" si="46"/>
        <v>1.9704568339222617</v>
      </c>
      <c r="W142" s="225">
        <f t="shared" ca="1" si="46"/>
        <v>2.0130613060070672</v>
      </c>
      <c r="X142" s="225">
        <f t="shared" ca="1" si="46"/>
        <v>2.0673476494699647</v>
      </c>
      <c r="Y142" s="225">
        <f t="shared" ca="1" si="46"/>
        <v>2.120603239575972</v>
      </c>
      <c r="Z142" s="225">
        <f t="shared" ca="1" si="46"/>
        <v>2.1752331674911667</v>
      </c>
      <c r="AA142" s="225">
        <f t="shared" ca="1" si="45"/>
        <v>2.2363912000000008</v>
      </c>
      <c r="AB142" s="225">
        <f t="shared" ca="1" si="45"/>
        <v>2.2996107392226155</v>
      </c>
      <c r="AC142" s="225">
        <f t="shared" ca="1" si="45"/>
        <v>2.3648917851590108</v>
      </c>
      <c r="AD142" s="225">
        <f t="shared" ca="1" si="45"/>
        <v>2.4281113243816255</v>
      </c>
      <c r="AE142" s="225">
        <f t="shared" ca="1" si="45"/>
        <v>2.4975153837455832</v>
      </c>
      <c r="AF142" s="225">
        <f t="shared" ca="1" si="45"/>
        <v>2.5717296254416961</v>
      </c>
      <c r="AG142" s="225">
        <f t="shared" ca="1" si="45"/>
        <v>2.6535027250883401</v>
      </c>
      <c r="AH142" s="225">
        <f t="shared" ca="1" si="45"/>
        <v>2.7376809159010613</v>
      </c>
      <c r="AI142" s="225">
        <f t="shared" ca="1" si="45"/>
        <v>2.8242641978798599</v>
      </c>
      <c r="AJ142" s="225">
        <f t="shared" ca="1" si="45"/>
        <v>2.9118782332155493</v>
      </c>
      <c r="AK142" s="225">
        <f t="shared" ca="1" si="45"/>
        <v>3.0022409441696127</v>
      </c>
      <c r="AL142" s="225">
        <f t="shared" ca="1" si="45"/>
        <v>3.0974138374558322</v>
      </c>
      <c r="AM142" s="225">
        <f t="shared" ca="1" si="45"/>
        <v>3.6076367491166095</v>
      </c>
      <c r="AN142" s="225">
        <f t="shared" ca="1" si="45"/>
        <v>4.2326168678445244</v>
      </c>
      <c r="AO142" s="225">
        <f t="shared" ca="1" si="45"/>
        <v>5.3486936970553867</v>
      </c>
      <c r="AP142" s="225">
        <f t="shared" ca="1" si="45"/>
        <v>6.4838967274440789</v>
      </c>
    </row>
    <row r="143" spans="1:42">
      <c r="A143" s="61" t="str">
        <f>'[5]TS BYDem'!A82</f>
        <v>*</v>
      </c>
      <c r="B143" s="225" t="s">
        <v>288</v>
      </c>
      <c r="C143" s="225" t="s">
        <v>137</v>
      </c>
      <c r="D143" s="225" t="str">
        <f>'[5]TS BYDem'!D82</f>
        <v xml:space="preserve"> </v>
      </c>
      <c r="E143" s="225" t="s">
        <v>137</v>
      </c>
      <c r="F143" s="225" t="s">
        <v>137</v>
      </c>
      <c r="G143" s="225" t="s">
        <v>137</v>
      </c>
      <c r="H143" s="225" t="s">
        <v>137</v>
      </c>
      <c r="I143" s="225">
        <v>0</v>
      </c>
      <c r="J143" s="225" t="str">
        <f>INDEX('[5]TS BYDem'!$J$10:$J$203,MATCH(D143,'[5]TS BYDem'!$D$10:$D$203,0))</f>
        <v/>
      </c>
      <c r="K143" s="225" t="e">
        <f t="shared" ca="1" si="47"/>
        <v>#VALUE!</v>
      </c>
      <c r="L143" s="225" t="e">
        <f t="shared" ca="1" si="46"/>
        <v>#VALUE!</v>
      </c>
      <c r="M143" s="225" t="e">
        <f t="shared" ca="1" si="46"/>
        <v>#VALUE!</v>
      </c>
      <c r="N143" s="225" t="e">
        <f t="shared" ca="1" si="46"/>
        <v>#VALUE!</v>
      </c>
      <c r="O143" s="225" t="e">
        <f t="shared" ca="1" si="46"/>
        <v>#VALUE!</v>
      </c>
      <c r="P143" s="225" t="e">
        <f t="shared" ca="1" si="46"/>
        <v>#VALUE!</v>
      </c>
      <c r="Q143" s="225" t="e">
        <f t="shared" ca="1" si="46"/>
        <v>#VALUE!</v>
      </c>
      <c r="R143" s="225" t="e">
        <f t="shared" ca="1" si="46"/>
        <v>#VALUE!</v>
      </c>
      <c r="S143" s="225" t="e">
        <f t="shared" ca="1" si="46"/>
        <v>#VALUE!</v>
      </c>
      <c r="T143" s="225" t="e">
        <f t="shared" ca="1" si="46"/>
        <v>#VALUE!</v>
      </c>
      <c r="U143" s="225" t="e">
        <f t="shared" ca="1" si="46"/>
        <v>#VALUE!</v>
      </c>
      <c r="V143" s="225" t="e">
        <f t="shared" ca="1" si="46"/>
        <v>#VALUE!</v>
      </c>
      <c r="W143" s="225" t="e">
        <f t="shared" ca="1" si="46"/>
        <v>#VALUE!</v>
      </c>
      <c r="X143" s="225" t="e">
        <f t="shared" ca="1" si="46"/>
        <v>#VALUE!</v>
      </c>
      <c r="Y143" s="225" t="e">
        <f t="shared" ca="1" si="46"/>
        <v>#VALUE!</v>
      </c>
      <c r="Z143" s="225" t="e">
        <f t="shared" ca="1" si="46"/>
        <v>#VALUE!</v>
      </c>
      <c r="AA143" s="225" t="e">
        <f t="shared" ca="1" si="45"/>
        <v>#VALUE!</v>
      </c>
      <c r="AB143" s="225" t="e">
        <f t="shared" ca="1" si="45"/>
        <v>#VALUE!</v>
      </c>
      <c r="AC143" s="225" t="e">
        <f t="shared" ca="1" si="45"/>
        <v>#VALUE!</v>
      </c>
      <c r="AD143" s="225" t="e">
        <f t="shared" ca="1" si="45"/>
        <v>#VALUE!</v>
      </c>
      <c r="AE143" s="225" t="e">
        <f t="shared" ca="1" si="45"/>
        <v>#VALUE!</v>
      </c>
      <c r="AF143" s="225" t="e">
        <f t="shared" ca="1" si="45"/>
        <v>#VALUE!</v>
      </c>
      <c r="AG143" s="225" t="e">
        <f t="shared" ca="1" si="45"/>
        <v>#VALUE!</v>
      </c>
      <c r="AH143" s="225" t="e">
        <f t="shared" ca="1" si="45"/>
        <v>#VALUE!</v>
      </c>
      <c r="AI143" s="225" t="e">
        <f t="shared" ca="1" si="45"/>
        <v>#VALUE!</v>
      </c>
      <c r="AJ143" s="225" t="e">
        <f t="shared" ca="1" si="45"/>
        <v>#VALUE!</v>
      </c>
      <c r="AK143" s="225" t="e">
        <f t="shared" ca="1" si="45"/>
        <v>#VALUE!</v>
      </c>
      <c r="AL143" s="225" t="e">
        <f t="shared" ca="1" si="45"/>
        <v>#VALUE!</v>
      </c>
      <c r="AM143" s="225" t="e">
        <f t="shared" ca="1" si="45"/>
        <v>#VALUE!</v>
      </c>
      <c r="AN143" s="225" t="e">
        <f t="shared" ca="1" si="45"/>
        <v>#VALUE!</v>
      </c>
      <c r="AO143" s="225" t="e">
        <f t="shared" ca="1" si="45"/>
        <v>#VALUE!</v>
      </c>
      <c r="AP143" s="225" t="e">
        <f t="shared" ca="1" si="45"/>
        <v>#VALUE!</v>
      </c>
    </row>
    <row r="144" spans="1:42">
      <c r="A144" s="61" t="str">
        <f>'[5]TS BYDem'!A83</f>
        <v/>
      </c>
      <c r="B144" s="225" t="s">
        <v>288</v>
      </c>
      <c r="C144" s="225" t="s">
        <v>137</v>
      </c>
      <c r="D144" s="225" t="str">
        <f>'[5]TS BYDem'!D83</f>
        <v>ICPS</v>
      </c>
      <c r="E144" s="225" t="s">
        <v>137</v>
      </c>
      <c r="F144" s="225" t="s">
        <v>137</v>
      </c>
      <c r="G144" s="225" t="s">
        <v>137</v>
      </c>
      <c r="H144" s="225" t="s">
        <v>137</v>
      </c>
      <c r="I144" s="225">
        <v>0</v>
      </c>
      <c r="J144" s="225">
        <f>INDEX('[5]TS BYDem'!$J$10:$J$203,MATCH(D144,'[5]TS BYDem'!$D$10:$D$203,0))</f>
        <v>27.288197120140854</v>
      </c>
      <c r="K144" s="225">
        <f t="shared" ca="1" si="47"/>
        <v>28.063283196266802</v>
      </c>
      <c r="L144" s="225">
        <f t="shared" ca="1" si="46"/>
        <v>28.554171044479897</v>
      </c>
      <c r="M144" s="232">
        <f t="shared" ref="M144" si="48">O144</f>
        <v>20.990606000000003</v>
      </c>
      <c r="N144" s="232">
        <f t="shared" ref="N144" si="49">O144</f>
        <v>20.990606000000003</v>
      </c>
      <c r="O144" s="232">
        <f>INDEX('[5]TS BYDem'!$O$10:$O$203,MATCH(D144,'[5]TS BYDem'!$D$10:$D$203,0))</f>
        <v>20.990606000000003</v>
      </c>
      <c r="P144" s="225">
        <f t="shared" ca="1" si="46"/>
        <v>21.172326793992937</v>
      </c>
      <c r="Q144" s="225">
        <f t="shared" ca="1" si="46"/>
        <v>21.124115154770323</v>
      </c>
      <c r="R144" s="225">
        <f t="shared" ca="1" si="46"/>
        <v>19.421873431448766</v>
      </c>
      <c r="S144" s="225">
        <f t="shared" ca="1" si="46"/>
        <v>19.937367112367493</v>
      </c>
      <c r="T144" s="225">
        <f t="shared" ca="1" si="46"/>
        <v>20.404649154063605</v>
      </c>
      <c r="U144" s="225">
        <f t="shared" ca="1" si="46"/>
        <v>20.845971082332156</v>
      </c>
      <c r="V144" s="225">
        <f t="shared" ca="1" si="46"/>
        <v>21.268750072438163</v>
      </c>
      <c r="W144" s="225">
        <f t="shared" ca="1" si="46"/>
        <v>21.72861493886926</v>
      </c>
      <c r="X144" s="225">
        <f t="shared" ca="1" si="46"/>
        <v>22.314571784805654</v>
      </c>
      <c r="Y144" s="225">
        <f t="shared" ca="1" si="46"/>
        <v>22.889402867844524</v>
      </c>
      <c r="Z144" s="225">
        <f t="shared" ca="1" si="46"/>
        <v>23.479068301413431</v>
      </c>
      <c r="AA144" s="225">
        <f t="shared" ca="1" si="45"/>
        <v>24.139196900000005</v>
      </c>
      <c r="AB144" s="225">
        <f t="shared" ca="1" si="45"/>
        <v>24.821577024381629</v>
      </c>
      <c r="AC144" s="225">
        <f t="shared" ca="1" si="45"/>
        <v>25.526208674558305</v>
      </c>
      <c r="AD144" s="225">
        <f t="shared" ca="1" si="45"/>
        <v>26.208588798939932</v>
      </c>
      <c r="AE144" s="225">
        <f t="shared" ca="1" si="45"/>
        <v>26.957723500706717</v>
      </c>
      <c r="AF144" s="225">
        <f t="shared" ca="1" si="45"/>
        <v>27.758778429328622</v>
      </c>
      <c r="AG144" s="225">
        <f t="shared" ca="1" si="45"/>
        <v>28.64142228586573</v>
      </c>
      <c r="AH144" s="225">
        <f t="shared" ca="1" si="45"/>
        <v>29.550026255830396</v>
      </c>
      <c r="AI144" s="225">
        <f t="shared" ca="1" si="45"/>
        <v>30.484590339222621</v>
      </c>
      <c r="AJ144" s="225">
        <f t="shared" ca="1" si="45"/>
        <v>31.430280185512373</v>
      </c>
      <c r="AK144" s="225">
        <f t="shared" ca="1" si="45"/>
        <v>32.405638732862194</v>
      </c>
      <c r="AL144" s="225">
        <f t="shared" ca="1" si="45"/>
        <v>33.432917507067145</v>
      </c>
      <c r="AM144" s="225">
        <f t="shared" ca="1" si="45"/>
        <v>38.940170141342762</v>
      </c>
      <c r="AN144" s="225">
        <f t="shared" ca="1" si="45"/>
        <v>45.686091044876328</v>
      </c>
      <c r="AO144" s="225">
        <f t="shared" ca="1" si="45"/>
        <v>57.732819871142802</v>
      </c>
      <c r="AP144" s="225">
        <f t="shared" ca="1" si="45"/>
        <v>69.985993408951984</v>
      </c>
    </row>
    <row r="145" spans="1:42">
      <c r="A145" s="61" t="str">
        <f>'[5]TS BYDem'!A84</f>
        <v>*</v>
      </c>
      <c r="B145" s="225" t="s">
        <v>288</v>
      </c>
      <c r="C145" s="225" t="s">
        <v>137</v>
      </c>
      <c r="D145" s="225" t="str">
        <f>'[5]TS BYDem'!D84</f>
        <v>ICPS</v>
      </c>
      <c r="E145" s="225" t="s">
        <v>137</v>
      </c>
      <c r="F145" s="225" t="s">
        <v>137</v>
      </c>
      <c r="G145" s="225" t="s">
        <v>137</v>
      </c>
      <c r="H145" s="225" t="s">
        <v>137</v>
      </c>
      <c r="I145" s="225">
        <v>0</v>
      </c>
      <c r="J145" s="225">
        <f>INDEX('[5]TS BYDem'!$J$10:$J$203,MATCH(D145,'[5]TS BYDem'!$D$10:$D$203,0))</f>
        <v>27.288197120140854</v>
      </c>
      <c r="K145" s="225">
        <f t="shared" ca="1" si="47"/>
        <v>28.063283196266802</v>
      </c>
      <c r="L145" s="225">
        <f t="shared" ca="1" si="46"/>
        <v>28.554171044479897</v>
      </c>
      <c r="M145" s="225">
        <f t="shared" ca="1" si="46"/>
        <v>28.797031348332695</v>
      </c>
      <c r="N145" s="225">
        <f t="shared" ca="1" si="46"/>
        <v>29.091564057260552</v>
      </c>
      <c r="O145" s="225">
        <f t="shared" ca="1" si="46"/>
        <v>29.246581272485745</v>
      </c>
      <c r="P145" s="225">
        <f t="shared" ca="1" si="46"/>
        <v>29.499776057353554</v>
      </c>
      <c r="Q145" s="225">
        <f t="shared" ca="1" si="46"/>
        <v>29.432601930755972</v>
      </c>
      <c r="R145" s="225">
        <f t="shared" ca="1" si="46"/>
        <v>27.060838537810572</v>
      </c>
      <c r="S145" s="225">
        <f t="shared" ca="1" si="46"/>
        <v>27.779084968353949</v>
      </c>
      <c r="T145" s="225">
        <f t="shared" ca="1" si="46"/>
        <v>28.430157272299745</v>
      </c>
      <c r="U145" s="225">
        <f t="shared" ca="1" si="46"/>
        <v>29.045058892692996</v>
      </c>
      <c r="V145" s="225">
        <f t="shared" ca="1" si="46"/>
        <v>29.634124310548717</v>
      </c>
      <c r="W145" s="225">
        <f t="shared" ca="1" si="46"/>
        <v>30.274862133479502</v>
      </c>
      <c r="X145" s="225">
        <f t="shared" ca="1" si="46"/>
        <v>31.091286133665498</v>
      </c>
      <c r="Y145" s="225">
        <f t="shared" ca="1" si="46"/>
        <v>31.892208412328976</v>
      </c>
      <c r="Z145" s="225">
        <f t="shared" ca="1" si="46"/>
        <v>32.713799653022484</v>
      </c>
      <c r="AA145" s="225">
        <f t="shared" ca="1" si="45"/>
        <v>33.633568463358614</v>
      </c>
      <c r="AB145" s="225">
        <f t="shared" ca="1" si="45"/>
        <v>34.584340716739774</v>
      </c>
      <c r="AC145" s="225">
        <f t="shared" ca="1" si="45"/>
        <v>35.566116413165972</v>
      </c>
      <c r="AD145" s="225">
        <f t="shared" ca="1" si="45"/>
        <v>36.516888666547132</v>
      </c>
      <c r="AE145" s="225">
        <f t="shared" ca="1" si="45"/>
        <v>37.560671249063411</v>
      </c>
      <c r="AF145" s="225">
        <f t="shared" ca="1" si="45"/>
        <v>38.676795198684772</v>
      </c>
      <c r="AG145" s="225">
        <f t="shared" ca="1" si="45"/>
        <v>39.906598439471281</v>
      </c>
      <c r="AH145" s="225">
        <f t="shared" ca="1" si="45"/>
        <v>41.172572363810332</v>
      </c>
      <c r="AI145" s="225">
        <f t="shared" ca="1" si="45"/>
        <v>42.474716971701923</v>
      </c>
      <c r="AJ145" s="225">
        <f t="shared" ca="1" si="45"/>
        <v>43.792363301116033</v>
      </c>
      <c r="AK145" s="225">
        <f t="shared" ca="1" si="45"/>
        <v>45.151347554590188</v>
      </c>
      <c r="AL145" s="225">
        <f t="shared" ca="1" si="45"/>
        <v>46.58267317516944</v>
      </c>
      <c r="AM145" s="225">
        <f t="shared" ca="1" si="45"/>
        <v>54.256025328816314</v>
      </c>
      <c r="AN145" s="225">
        <f t="shared" ca="1" si="45"/>
        <v>63.6552358119703</v>
      </c>
      <c r="AO145" s="225">
        <f t="shared" ca="1" si="45"/>
        <v>80.440155393853701</v>
      </c>
      <c r="AP145" s="225">
        <f t="shared" ca="1" si="45"/>
        <v>97.512718030654554</v>
      </c>
    </row>
    <row r="146" spans="1:42">
      <c r="A146" s="61" t="str">
        <f>'[5]TS BYDem'!A85</f>
        <v>*</v>
      </c>
      <c r="B146" s="225" t="s">
        <v>288</v>
      </c>
      <c r="C146" s="225" t="s">
        <v>137</v>
      </c>
      <c r="D146" s="225" t="str">
        <f>'[5]TS BYDem'!D85</f>
        <v>ICPS</v>
      </c>
      <c r="E146" s="225" t="s">
        <v>137</v>
      </c>
      <c r="F146" s="225" t="s">
        <v>137</v>
      </c>
      <c r="G146" s="225" t="s">
        <v>137</v>
      </c>
      <c r="H146" s="225" t="s">
        <v>137</v>
      </c>
      <c r="I146" s="225">
        <v>0</v>
      </c>
      <c r="J146" s="225">
        <f>INDEX('[5]TS BYDem'!$J$10:$J$203,MATCH(D146,'[5]TS BYDem'!$D$10:$D$203,0))</f>
        <v>27.288197120140854</v>
      </c>
      <c r="K146" s="225">
        <f t="shared" ca="1" si="47"/>
        <v>28.063283196266802</v>
      </c>
      <c r="L146" s="225">
        <f t="shared" ca="1" si="46"/>
        <v>28.554171044479897</v>
      </c>
      <c r="M146" s="225">
        <f t="shared" ca="1" si="46"/>
        <v>28.797031348332695</v>
      </c>
      <c r="N146" s="225">
        <f t="shared" ca="1" si="46"/>
        <v>29.091564057260552</v>
      </c>
      <c r="O146" s="225">
        <f t="shared" ca="1" si="46"/>
        <v>29.246581272485745</v>
      </c>
      <c r="P146" s="225">
        <f t="shared" ca="1" si="46"/>
        <v>29.499776057353554</v>
      </c>
      <c r="Q146" s="225">
        <f t="shared" ca="1" si="46"/>
        <v>29.432601930755972</v>
      </c>
      <c r="R146" s="225">
        <f t="shared" ca="1" si="46"/>
        <v>27.060838537810572</v>
      </c>
      <c r="S146" s="225">
        <f t="shared" ca="1" si="46"/>
        <v>27.779084968353949</v>
      </c>
      <c r="T146" s="225">
        <f t="shared" ca="1" si="46"/>
        <v>28.430157272299745</v>
      </c>
      <c r="U146" s="225">
        <f t="shared" ca="1" si="46"/>
        <v>29.045058892692996</v>
      </c>
      <c r="V146" s="225">
        <f t="shared" ca="1" si="46"/>
        <v>29.634124310548717</v>
      </c>
      <c r="W146" s="225">
        <f t="shared" ca="1" si="46"/>
        <v>30.274862133479502</v>
      </c>
      <c r="X146" s="225">
        <f t="shared" ca="1" si="46"/>
        <v>31.091286133665498</v>
      </c>
      <c r="Y146" s="225">
        <f t="shared" ca="1" si="46"/>
        <v>31.892208412328976</v>
      </c>
      <c r="Z146" s="225">
        <f t="shared" ca="1" si="46"/>
        <v>32.713799653022484</v>
      </c>
      <c r="AA146" s="225">
        <f t="shared" ca="1" si="45"/>
        <v>33.633568463358614</v>
      </c>
      <c r="AB146" s="225">
        <f t="shared" ca="1" si="45"/>
        <v>34.584340716739774</v>
      </c>
      <c r="AC146" s="225">
        <f t="shared" ca="1" si="45"/>
        <v>35.566116413165972</v>
      </c>
      <c r="AD146" s="225">
        <f t="shared" ca="1" si="45"/>
        <v>36.516888666547132</v>
      </c>
      <c r="AE146" s="225">
        <f t="shared" ca="1" si="45"/>
        <v>37.560671249063411</v>
      </c>
      <c r="AF146" s="225">
        <f t="shared" ca="1" si="45"/>
        <v>38.676795198684772</v>
      </c>
      <c r="AG146" s="225">
        <f t="shared" ca="1" si="45"/>
        <v>39.906598439471281</v>
      </c>
      <c r="AH146" s="225">
        <f t="shared" ca="1" si="45"/>
        <v>41.172572363810332</v>
      </c>
      <c r="AI146" s="225">
        <f t="shared" ca="1" si="45"/>
        <v>42.474716971701923</v>
      </c>
      <c r="AJ146" s="225">
        <f t="shared" ca="1" si="45"/>
        <v>43.792363301116033</v>
      </c>
      <c r="AK146" s="225">
        <f t="shared" ca="1" si="45"/>
        <v>45.151347554590188</v>
      </c>
      <c r="AL146" s="225">
        <f t="shared" ca="1" si="45"/>
        <v>46.58267317516944</v>
      </c>
      <c r="AM146" s="225">
        <f t="shared" ca="1" si="45"/>
        <v>54.256025328816314</v>
      </c>
      <c r="AN146" s="225">
        <f t="shared" ca="1" si="45"/>
        <v>63.6552358119703</v>
      </c>
      <c r="AO146" s="225">
        <f t="shared" ca="1" si="45"/>
        <v>80.440155393853701</v>
      </c>
      <c r="AP146" s="225">
        <f t="shared" ca="1" si="45"/>
        <v>97.512718030654554</v>
      </c>
    </row>
    <row r="147" spans="1:42">
      <c r="A147" s="61" t="str">
        <f>'[5]TS BYDem'!A86</f>
        <v>*</v>
      </c>
      <c r="B147" s="225" t="s">
        <v>288</v>
      </c>
      <c r="C147" s="225" t="s">
        <v>137</v>
      </c>
      <c r="D147" s="225" t="str">
        <f>'[5]TS BYDem'!D86</f>
        <v>ICPS</v>
      </c>
      <c r="E147" s="225" t="s">
        <v>137</v>
      </c>
      <c r="F147" s="225" t="s">
        <v>137</v>
      </c>
      <c r="G147" s="225" t="s">
        <v>137</v>
      </c>
      <c r="H147" s="225" t="s">
        <v>137</v>
      </c>
      <c r="I147" s="225">
        <v>0</v>
      </c>
      <c r="J147" s="225">
        <f>INDEX('[5]TS BYDem'!$J$10:$J$203,MATCH(D147,'[5]TS BYDem'!$D$10:$D$203,0))</f>
        <v>27.288197120140854</v>
      </c>
      <c r="K147" s="225">
        <f t="shared" ca="1" si="47"/>
        <v>28.063283196266802</v>
      </c>
      <c r="L147" s="225">
        <f t="shared" ca="1" si="46"/>
        <v>28.554171044479897</v>
      </c>
      <c r="M147" s="225">
        <f t="shared" ca="1" si="46"/>
        <v>28.797031348332695</v>
      </c>
      <c r="N147" s="225">
        <f t="shared" ca="1" si="46"/>
        <v>29.091564057260552</v>
      </c>
      <c r="O147" s="225">
        <f t="shared" ca="1" si="46"/>
        <v>29.246581272485745</v>
      </c>
      <c r="P147" s="225">
        <f t="shared" ca="1" si="46"/>
        <v>29.499776057353554</v>
      </c>
      <c r="Q147" s="225">
        <f t="shared" ca="1" si="46"/>
        <v>29.432601930755972</v>
      </c>
      <c r="R147" s="225">
        <f t="shared" ca="1" si="46"/>
        <v>27.060838537810572</v>
      </c>
      <c r="S147" s="225">
        <f t="shared" ca="1" si="46"/>
        <v>27.779084968353949</v>
      </c>
      <c r="T147" s="225">
        <f t="shared" ca="1" si="46"/>
        <v>28.430157272299745</v>
      </c>
      <c r="U147" s="225">
        <f t="shared" ca="1" si="46"/>
        <v>29.045058892692996</v>
      </c>
      <c r="V147" s="225">
        <f t="shared" ca="1" si="46"/>
        <v>29.634124310548717</v>
      </c>
      <c r="W147" s="225">
        <f t="shared" ca="1" si="46"/>
        <v>30.274862133479502</v>
      </c>
      <c r="X147" s="225">
        <f t="shared" ca="1" si="46"/>
        <v>31.091286133665498</v>
      </c>
      <c r="Y147" s="225">
        <f t="shared" ca="1" si="46"/>
        <v>31.892208412328976</v>
      </c>
      <c r="Z147" s="225">
        <f t="shared" ca="1" si="46"/>
        <v>32.713799653022484</v>
      </c>
      <c r="AA147" s="225">
        <f t="shared" ca="1" si="45"/>
        <v>33.633568463358614</v>
      </c>
      <c r="AB147" s="225">
        <f t="shared" ca="1" si="45"/>
        <v>34.584340716739774</v>
      </c>
      <c r="AC147" s="225">
        <f t="shared" ca="1" si="45"/>
        <v>35.566116413165972</v>
      </c>
      <c r="AD147" s="225">
        <f t="shared" ca="1" si="45"/>
        <v>36.516888666547132</v>
      </c>
      <c r="AE147" s="225">
        <f t="shared" ca="1" si="45"/>
        <v>37.560671249063411</v>
      </c>
      <c r="AF147" s="225">
        <f t="shared" ca="1" si="45"/>
        <v>38.676795198684772</v>
      </c>
      <c r="AG147" s="225">
        <f t="shared" ca="1" si="45"/>
        <v>39.906598439471281</v>
      </c>
      <c r="AH147" s="225">
        <f t="shared" ca="1" si="45"/>
        <v>41.172572363810332</v>
      </c>
      <c r="AI147" s="225">
        <f t="shared" ca="1" si="45"/>
        <v>42.474716971701923</v>
      </c>
      <c r="AJ147" s="225">
        <f t="shared" ca="1" si="45"/>
        <v>43.792363301116033</v>
      </c>
      <c r="AK147" s="225">
        <f t="shared" ca="1" si="45"/>
        <v>45.151347554590188</v>
      </c>
      <c r="AL147" s="225">
        <f t="shared" ca="1" si="45"/>
        <v>46.58267317516944</v>
      </c>
      <c r="AM147" s="225">
        <f t="shared" ca="1" si="45"/>
        <v>54.256025328816314</v>
      </c>
      <c r="AN147" s="225">
        <f t="shared" ca="1" si="45"/>
        <v>63.6552358119703</v>
      </c>
      <c r="AO147" s="225">
        <f t="shared" ca="1" si="45"/>
        <v>80.440155393853701</v>
      </c>
      <c r="AP147" s="225">
        <f t="shared" ca="1" si="45"/>
        <v>97.512718030654554</v>
      </c>
    </row>
    <row r="148" spans="1:42">
      <c r="A148" s="61" t="str">
        <f>'[5]TS BYDem'!A87</f>
        <v>*</v>
      </c>
      <c r="B148" s="225" t="s">
        <v>288</v>
      </c>
      <c r="C148" s="225" t="s">
        <v>137</v>
      </c>
      <c r="D148" s="225" t="str">
        <f>'[5]TS BYDem'!D87</f>
        <v>ICPS</v>
      </c>
      <c r="E148" s="225" t="s">
        <v>137</v>
      </c>
      <c r="F148" s="225" t="s">
        <v>137</v>
      </c>
      <c r="G148" s="225" t="s">
        <v>137</v>
      </c>
      <c r="H148" s="225" t="s">
        <v>137</v>
      </c>
      <c r="I148" s="225">
        <v>0</v>
      </c>
      <c r="J148" s="225">
        <f>INDEX('[5]TS BYDem'!$J$10:$J$203,MATCH(D148,'[5]TS BYDem'!$D$10:$D$203,0))</f>
        <v>27.288197120140854</v>
      </c>
      <c r="K148" s="225">
        <f t="shared" ca="1" si="47"/>
        <v>28.063283196266802</v>
      </c>
      <c r="L148" s="225">
        <f t="shared" ca="1" si="46"/>
        <v>28.554171044479897</v>
      </c>
      <c r="M148" s="225">
        <f t="shared" ca="1" si="46"/>
        <v>28.797031348332695</v>
      </c>
      <c r="N148" s="225">
        <f t="shared" ca="1" si="46"/>
        <v>29.091564057260552</v>
      </c>
      <c r="O148" s="225">
        <f t="shared" ca="1" si="46"/>
        <v>29.246581272485745</v>
      </c>
      <c r="P148" s="225">
        <f t="shared" ca="1" si="46"/>
        <v>29.499776057353554</v>
      </c>
      <c r="Q148" s="225">
        <f t="shared" ca="1" si="46"/>
        <v>29.432601930755972</v>
      </c>
      <c r="R148" s="225">
        <f t="shared" ca="1" si="46"/>
        <v>27.060838537810572</v>
      </c>
      <c r="S148" s="225">
        <f t="shared" ca="1" si="46"/>
        <v>27.779084968353949</v>
      </c>
      <c r="T148" s="225">
        <f t="shared" ca="1" si="46"/>
        <v>28.430157272299745</v>
      </c>
      <c r="U148" s="225">
        <f t="shared" ca="1" si="46"/>
        <v>29.045058892692996</v>
      </c>
      <c r="V148" s="225">
        <f t="shared" ca="1" si="46"/>
        <v>29.634124310548717</v>
      </c>
      <c r="W148" s="225">
        <f t="shared" ca="1" si="46"/>
        <v>30.274862133479502</v>
      </c>
      <c r="X148" s="225">
        <f t="shared" ca="1" si="46"/>
        <v>31.091286133665498</v>
      </c>
      <c r="Y148" s="225">
        <f t="shared" ca="1" si="46"/>
        <v>31.892208412328976</v>
      </c>
      <c r="Z148" s="225">
        <f t="shared" ca="1" si="46"/>
        <v>32.713799653022484</v>
      </c>
      <c r="AA148" s="225">
        <f t="shared" ca="1" si="45"/>
        <v>33.633568463358614</v>
      </c>
      <c r="AB148" s="225">
        <f t="shared" ca="1" si="45"/>
        <v>34.584340716739774</v>
      </c>
      <c r="AC148" s="225">
        <f t="shared" ca="1" si="45"/>
        <v>35.566116413165972</v>
      </c>
      <c r="AD148" s="225">
        <f t="shared" ca="1" si="45"/>
        <v>36.516888666547132</v>
      </c>
      <c r="AE148" s="225">
        <f t="shared" ca="1" si="45"/>
        <v>37.560671249063411</v>
      </c>
      <c r="AF148" s="225">
        <f t="shared" ca="1" si="45"/>
        <v>38.676795198684772</v>
      </c>
      <c r="AG148" s="225">
        <f t="shared" ca="1" si="45"/>
        <v>39.906598439471281</v>
      </c>
      <c r="AH148" s="225">
        <f t="shared" ca="1" si="45"/>
        <v>41.172572363810332</v>
      </c>
      <c r="AI148" s="225">
        <f t="shared" ca="1" si="45"/>
        <v>42.474716971701923</v>
      </c>
      <c r="AJ148" s="225">
        <f t="shared" ca="1" si="45"/>
        <v>43.792363301116033</v>
      </c>
      <c r="AK148" s="225">
        <f t="shared" ca="1" si="45"/>
        <v>45.151347554590188</v>
      </c>
      <c r="AL148" s="225">
        <f t="shared" ca="1" si="45"/>
        <v>46.58267317516944</v>
      </c>
      <c r="AM148" s="225">
        <f t="shared" ca="1" si="45"/>
        <v>54.256025328816314</v>
      </c>
      <c r="AN148" s="225">
        <f t="shared" ca="1" si="45"/>
        <v>63.6552358119703</v>
      </c>
      <c r="AO148" s="225">
        <f t="shared" ca="1" si="45"/>
        <v>80.440155393853701</v>
      </c>
      <c r="AP148" s="225">
        <f t="shared" ca="1" si="45"/>
        <v>97.512718030654554</v>
      </c>
    </row>
    <row r="149" spans="1:42">
      <c r="A149" s="61" t="str">
        <f>'[5]TS BYDem'!A88</f>
        <v>*</v>
      </c>
      <c r="B149" s="225" t="s">
        <v>288</v>
      </c>
      <c r="C149" s="225" t="s">
        <v>137</v>
      </c>
      <c r="D149" s="225" t="str">
        <f>'[5]TS BYDem'!D88</f>
        <v>ICPS</v>
      </c>
      <c r="E149" s="225" t="s">
        <v>137</v>
      </c>
      <c r="F149" s="225" t="s">
        <v>137</v>
      </c>
      <c r="G149" s="225" t="s">
        <v>137</v>
      </c>
      <c r="H149" s="225" t="s">
        <v>137</v>
      </c>
      <c r="I149" s="225">
        <v>0</v>
      </c>
      <c r="J149" s="225">
        <f>INDEX('[5]TS BYDem'!$J$10:$J$203,MATCH(D149,'[5]TS BYDem'!$D$10:$D$203,0))</f>
        <v>27.288197120140854</v>
      </c>
      <c r="K149" s="225">
        <f t="shared" ca="1" si="47"/>
        <v>28.063283196266802</v>
      </c>
      <c r="L149" s="225">
        <f t="shared" ca="1" si="46"/>
        <v>28.554171044479897</v>
      </c>
      <c r="M149" s="225">
        <f t="shared" ca="1" si="46"/>
        <v>28.797031348332695</v>
      </c>
      <c r="N149" s="225">
        <f t="shared" ca="1" si="46"/>
        <v>29.091564057260552</v>
      </c>
      <c r="O149" s="225">
        <f t="shared" ca="1" si="46"/>
        <v>29.246581272485745</v>
      </c>
      <c r="P149" s="225">
        <f t="shared" ca="1" si="46"/>
        <v>29.499776057353554</v>
      </c>
      <c r="Q149" s="225">
        <f t="shared" ca="1" si="46"/>
        <v>29.432601930755972</v>
      </c>
      <c r="R149" s="225">
        <f t="shared" ca="1" si="46"/>
        <v>27.060838537810572</v>
      </c>
      <c r="S149" s="225">
        <f t="shared" ca="1" si="46"/>
        <v>27.779084968353949</v>
      </c>
      <c r="T149" s="225">
        <f t="shared" ca="1" si="46"/>
        <v>28.430157272299745</v>
      </c>
      <c r="U149" s="225">
        <f t="shared" ca="1" si="46"/>
        <v>29.045058892692996</v>
      </c>
      <c r="V149" s="225">
        <f t="shared" ca="1" si="46"/>
        <v>29.634124310548717</v>
      </c>
      <c r="W149" s="225">
        <f t="shared" ca="1" si="46"/>
        <v>30.274862133479502</v>
      </c>
      <c r="X149" s="225">
        <f t="shared" ca="1" si="46"/>
        <v>31.091286133665498</v>
      </c>
      <c r="Y149" s="225">
        <f t="shared" ca="1" si="46"/>
        <v>31.892208412328976</v>
      </c>
      <c r="Z149" s="225">
        <f t="shared" ca="1" si="46"/>
        <v>32.713799653022484</v>
      </c>
      <c r="AA149" s="225">
        <f t="shared" ca="1" si="45"/>
        <v>33.633568463358614</v>
      </c>
      <c r="AB149" s="225">
        <f t="shared" ca="1" si="45"/>
        <v>34.584340716739774</v>
      </c>
      <c r="AC149" s="225">
        <f t="shared" ca="1" si="45"/>
        <v>35.566116413165972</v>
      </c>
      <c r="AD149" s="225">
        <f t="shared" ca="1" si="45"/>
        <v>36.516888666547132</v>
      </c>
      <c r="AE149" s="225">
        <f t="shared" ca="1" si="45"/>
        <v>37.560671249063411</v>
      </c>
      <c r="AF149" s="225">
        <f t="shared" ca="1" si="45"/>
        <v>38.676795198684772</v>
      </c>
      <c r="AG149" s="225">
        <f t="shared" ca="1" si="45"/>
        <v>39.906598439471281</v>
      </c>
      <c r="AH149" s="225">
        <f t="shared" ca="1" si="45"/>
        <v>41.172572363810332</v>
      </c>
      <c r="AI149" s="225">
        <f t="shared" ca="1" si="45"/>
        <v>42.474716971701923</v>
      </c>
      <c r="AJ149" s="225">
        <f t="shared" ca="1" si="45"/>
        <v>43.792363301116033</v>
      </c>
      <c r="AK149" s="225">
        <f t="shared" ca="1" si="45"/>
        <v>45.151347554590188</v>
      </c>
      <c r="AL149" s="225">
        <f t="shared" ca="1" si="45"/>
        <v>46.58267317516944</v>
      </c>
      <c r="AM149" s="225">
        <f t="shared" ca="1" si="45"/>
        <v>54.256025328816314</v>
      </c>
      <c r="AN149" s="225">
        <f t="shared" ca="1" si="45"/>
        <v>63.6552358119703</v>
      </c>
      <c r="AO149" s="225">
        <f t="shared" ca="1" si="45"/>
        <v>80.440155393853701</v>
      </c>
      <c r="AP149" s="225">
        <f t="shared" ca="1" si="45"/>
        <v>97.512718030654554</v>
      </c>
    </row>
    <row r="150" spans="1:42">
      <c r="A150" s="61" t="str">
        <f>'[5]TS BYDem'!A89</f>
        <v>*</v>
      </c>
      <c r="B150" s="225" t="s">
        <v>288</v>
      </c>
      <c r="C150" s="225" t="s">
        <v>137</v>
      </c>
      <c r="D150" s="225">
        <f>'[5]TS BYDem'!D89</f>
        <v>0</v>
      </c>
      <c r="E150" s="225" t="s">
        <v>137</v>
      </c>
      <c r="F150" s="225" t="s">
        <v>137</v>
      </c>
      <c r="G150" s="225" t="s">
        <v>137</v>
      </c>
      <c r="H150" s="225" t="s">
        <v>137</v>
      </c>
      <c r="I150" s="225">
        <v>0</v>
      </c>
      <c r="J150" s="225" t="str">
        <f>INDEX('[5]TS BYDem'!$J$10:$J$203,MATCH(D150,'[5]TS BYDem'!$D$10:$D$203,0))</f>
        <v/>
      </c>
      <c r="K150" s="225" t="e">
        <f t="shared" ca="1" si="47"/>
        <v>#VALUE!</v>
      </c>
      <c r="L150" s="225" t="e">
        <f t="shared" ca="1" si="46"/>
        <v>#VALUE!</v>
      </c>
      <c r="M150" s="225" t="e">
        <f t="shared" ca="1" si="46"/>
        <v>#VALUE!</v>
      </c>
      <c r="N150" s="225" t="e">
        <f t="shared" ca="1" si="46"/>
        <v>#VALUE!</v>
      </c>
      <c r="O150" s="225" t="e">
        <f t="shared" ca="1" si="46"/>
        <v>#VALUE!</v>
      </c>
      <c r="P150" s="225" t="e">
        <f t="shared" ca="1" si="46"/>
        <v>#VALUE!</v>
      </c>
      <c r="Q150" s="225" t="e">
        <f t="shared" ca="1" si="46"/>
        <v>#VALUE!</v>
      </c>
      <c r="R150" s="225" t="e">
        <f t="shared" ca="1" si="46"/>
        <v>#VALUE!</v>
      </c>
      <c r="S150" s="225" t="e">
        <f t="shared" ca="1" si="46"/>
        <v>#VALUE!</v>
      </c>
      <c r="T150" s="225" t="e">
        <f t="shared" ca="1" si="46"/>
        <v>#VALUE!</v>
      </c>
      <c r="U150" s="225" t="e">
        <f t="shared" ca="1" si="46"/>
        <v>#VALUE!</v>
      </c>
      <c r="V150" s="225" t="e">
        <f t="shared" ca="1" si="46"/>
        <v>#VALUE!</v>
      </c>
      <c r="W150" s="225" t="e">
        <f t="shared" ca="1" si="46"/>
        <v>#VALUE!</v>
      </c>
      <c r="X150" s="225" t="e">
        <f t="shared" ca="1" si="46"/>
        <v>#VALUE!</v>
      </c>
      <c r="Y150" s="225" t="e">
        <f t="shared" ca="1" si="46"/>
        <v>#VALUE!</v>
      </c>
      <c r="Z150" s="225" t="e">
        <f t="shared" ca="1" si="46"/>
        <v>#VALUE!</v>
      </c>
      <c r="AA150" s="225" t="e">
        <f t="shared" ref="AA150:AP153" ca="1" si="50">AA$133/Z$133*Z150</f>
        <v>#VALUE!</v>
      </c>
      <c r="AB150" s="225" t="e">
        <f t="shared" ca="1" si="50"/>
        <v>#VALUE!</v>
      </c>
      <c r="AC150" s="225" t="e">
        <f t="shared" ca="1" si="50"/>
        <v>#VALUE!</v>
      </c>
      <c r="AD150" s="225" t="e">
        <f t="shared" ca="1" si="50"/>
        <v>#VALUE!</v>
      </c>
      <c r="AE150" s="225" t="e">
        <f t="shared" ca="1" si="50"/>
        <v>#VALUE!</v>
      </c>
      <c r="AF150" s="225" t="e">
        <f t="shared" ca="1" si="50"/>
        <v>#VALUE!</v>
      </c>
      <c r="AG150" s="225" t="e">
        <f t="shared" ca="1" si="50"/>
        <v>#VALUE!</v>
      </c>
      <c r="AH150" s="225" t="e">
        <f t="shared" ca="1" si="50"/>
        <v>#VALUE!</v>
      </c>
      <c r="AI150" s="225" t="e">
        <f t="shared" ca="1" si="50"/>
        <v>#VALUE!</v>
      </c>
      <c r="AJ150" s="225" t="e">
        <f t="shared" ca="1" si="50"/>
        <v>#VALUE!</v>
      </c>
      <c r="AK150" s="225" t="e">
        <f t="shared" ca="1" si="50"/>
        <v>#VALUE!</v>
      </c>
      <c r="AL150" s="225" t="e">
        <f t="shared" ca="1" si="50"/>
        <v>#VALUE!</v>
      </c>
      <c r="AM150" s="225" t="e">
        <f t="shared" ca="1" si="50"/>
        <v>#VALUE!</v>
      </c>
      <c r="AN150" s="225" t="e">
        <f t="shared" ca="1" si="50"/>
        <v>#VALUE!</v>
      </c>
      <c r="AO150" s="225" t="e">
        <f t="shared" ca="1" si="50"/>
        <v>#VALUE!</v>
      </c>
      <c r="AP150" s="225" t="e">
        <f t="shared" ca="1" si="50"/>
        <v>#VALUE!</v>
      </c>
    </row>
    <row r="151" spans="1:42">
      <c r="A151" s="61" t="str">
        <f>'[5]TS BYDem'!A90</f>
        <v/>
      </c>
      <c r="B151" s="225" t="s">
        <v>288</v>
      </c>
      <c r="C151" s="225" t="s">
        <v>137</v>
      </c>
      <c r="D151" s="225" t="str">
        <f>'[5]TS BYDem'!D90</f>
        <v>ICPT</v>
      </c>
      <c r="E151" s="225" t="s">
        <v>137</v>
      </c>
      <c r="F151" s="225" t="s">
        <v>137</v>
      </c>
      <c r="G151" s="225" t="s">
        <v>137</v>
      </c>
      <c r="H151" s="225" t="s">
        <v>137</v>
      </c>
      <c r="I151" s="225">
        <v>0</v>
      </c>
      <c r="J151" s="225">
        <f>INDEX('[5]TS BYDem'!$J$10:$J$203,MATCH(D151,'[5]TS BYDem'!$D$10:$D$203,0))</f>
        <v>39.004000030517574</v>
      </c>
      <c r="K151" s="225">
        <f t="shared" ca="1" si="47"/>
        <v>40.11185839154345</v>
      </c>
      <c r="L151" s="225">
        <f t="shared" ca="1" si="47"/>
        <v>40.813502020193162</v>
      </c>
      <c r="M151" s="232">
        <f t="shared" ref="M151" si="51">O151</f>
        <v>49.996000000000002</v>
      </c>
      <c r="N151" s="232">
        <f t="shared" ref="N151" si="52">O151</f>
        <v>49.996000000000002</v>
      </c>
      <c r="O151" s="232">
        <f>INDEX('[5]TS BYDem'!$O$10:$O$203,MATCH(D151,'[5]TS BYDem'!$D$10:$D$203,0))</f>
        <v>49.996000000000002</v>
      </c>
      <c r="P151" s="225">
        <f t="shared" ref="P151:Z153" ca="1" si="53">P$133/O$133*O151</f>
        <v>50.428827561837458</v>
      </c>
      <c r="Q151" s="225">
        <f t="shared" ca="1" si="53"/>
        <v>50.313995759717315</v>
      </c>
      <c r="R151" s="225">
        <f t="shared" ca="1" si="53"/>
        <v>46.259549823321549</v>
      </c>
      <c r="S151" s="225">
        <f t="shared" ca="1" si="53"/>
        <v>47.487366784452291</v>
      </c>
      <c r="T151" s="225">
        <f t="shared" ca="1" si="53"/>
        <v>48.60035194346289</v>
      </c>
      <c r="U151" s="225">
        <f t="shared" ca="1" si="53"/>
        <v>49.651504593639565</v>
      </c>
      <c r="V151" s="225">
        <f t="shared" ca="1" si="53"/>
        <v>50.658491166077731</v>
      </c>
      <c r="W151" s="225">
        <f t="shared" ca="1" si="53"/>
        <v>51.753809893992923</v>
      </c>
      <c r="X151" s="225">
        <f t="shared" ca="1" si="53"/>
        <v>53.149457950530021</v>
      </c>
      <c r="Y151" s="225">
        <f t="shared" ca="1" si="53"/>
        <v>54.518606360424009</v>
      </c>
      <c r="Z151" s="225">
        <f t="shared" ca="1" si="53"/>
        <v>55.923087632508825</v>
      </c>
      <c r="AA151" s="225">
        <f t="shared" ca="1" si="50"/>
        <v>57.495399999999997</v>
      </c>
      <c r="AB151" s="225">
        <f t="shared" ca="1" si="50"/>
        <v>59.120711660777381</v>
      </c>
      <c r="AC151" s="225">
        <f t="shared" ca="1" si="50"/>
        <v>60.799022614840979</v>
      </c>
      <c r="AD151" s="225">
        <f t="shared" ca="1" si="50"/>
        <v>62.424334275618364</v>
      </c>
      <c r="AE151" s="225">
        <f t="shared" ca="1" si="50"/>
        <v>64.208643816254408</v>
      </c>
      <c r="AF151" s="225">
        <f t="shared" ca="1" si="50"/>
        <v>66.116618374558286</v>
      </c>
      <c r="AG151" s="225">
        <f t="shared" ca="1" si="50"/>
        <v>68.218923674911665</v>
      </c>
      <c r="AH151" s="225">
        <f t="shared" ca="1" si="50"/>
        <v>70.383061484098945</v>
      </c>
      <c r="AI151" s="225">
        <f t="shared" ca="1" si="50"/>
        <v>72.609031802120143</v>
      </c>
      <c r="AJ151" s="225">
        <f t="shared" ca="1" si="50"/>
        <v>74.861501766784457</v>
      </c>
      <c r="AK151" s="225">
        <f t="shared" ca="1" si="50"/>
        <v>77.184637455830384</v>
      </c>
      <c r="AL151" s="225">
        <f t="shared" ca="1" si="50"/>
        <v>79.631438162544171</v>
      </c>
      <c r="AM151" s="225">
        <f t="shared" ca="1" si="50"/>
        <v>92.748763250883385</v>
      </c>
      <c r="AN151" s="225">
        <f t="shared" ca="1" si="50"/>
        <v>108.81638233215547</v>
      </c>
      <c r="AO151" s="225">
        <f t="shared" ca="1" si="50"/>
        <v>137.50961083627863</v>
      </c>
      <c r="AP151" s="225">
        <f t="shared" ca="1" si="50"/>
        <v>166.69455500588992</v>
      </c>
    </row>
    <row r="152" spans="1:42">
      <c r="A152" s="61" t="str">
        <f>'[5]TS BYDem'!A91</f>
        <v>*</v>
      </c>
      <c r="B152" s="225" t="s">
        <v>288</v>
      </c>
      <c r="C152" s="225" t="s">
        <v>137</v>
      </c>
      <c r="D152" s="225" t="str">
        <f>'[5]TS BYDem'!D91</f>
        <v>Useful Energy Service</v>
      </c>
      <c r="E152" s="225" t="s">
        <v>137</v>
      </c>
      <c r="F152" s="225" t="s">
        <v>137</v>
      </c>
      <c r="G152" s="225" t="s">
        <v>137</v>
      </c>
      <c r="H152" s="225" t="s">
        <v>137</v>
      </c>
      <c r="I152" s="225">
        <v>0</v>
      </c>
      <c r="J152" s="225" t="str">
        <f>INDEX('[5]TS BYDem'!$J$10:$J$203,MATCH(D152,'[5]TS BYDem'!$D$10:$D$203,0))</f>
        <v/>
      </c>
      <c r="K152" s="225" t="e">
        <f t="shared" ca="1" si="47"/>
        <v>#VALUE!</v>
      </c>
      <c r="L152" s="225" t="e">
        <f t="shared" ca="1" si="47"/>
        <v>#VALUE!</v>
      </c>
      <c r="M152" s="225" t="e">
        <f t="shared" ca="1" si="47"/>
        <v>#VALUE!</v>
      </c>
      <c r="N152" s="225" t="e">
        <f t="shared" ca="1" si="47"/>
        <v>#VALUE!</v>
      </c>
      <c r="O152" s="225" t="e">
        <f t="shared" ca="1" si="47"/>
        <v>#VALUE!</v>
      </c>
      <c r="P152" s="225" t="e">
        <f t="shared" ca="1" si="53"/>
        <v>#VALUE!</v>
      </c>
      <c r="Q152" s="225" t="e">
        <f t="shared" ca="1" si="53"/>
        <v>#VALUE!</v>
      </c>
      <c r="R152" s="225" t="e">
        <f t="shared" ca="1" si="53"/>
        <v>#VALUE!</v>
      </c>
      <c r="S152" s="225" t="e">
        <f t="shared" ca="1" si="53"/>
        <v>#VALUE!</v>
      </c>
      <c r="T152" s="225" t="e">
        <f t="shared" ca="1" si="53"/>
        <v>#VALUE!</v>
      </c>
      <c r="U152" s="225" t="e">
        <f t="shared" ca="1" si="53"/>
        <v>#VALUE!</v>
      </c>
      <c r="V152" s="225" t="e">
        <f t="shared" ca="1" si="53"/>
        <v>#VALUE!</v>
      </c>
      <c r="W152" s="225" t="e">
        <f t="shared" ca="1" si="53"/>
        <v>#VALUE!</v>
      </c>
      <c r="X152" s="225" t="e">
        <f t="shared" ca="1" si="53"/>
        <v>#VALUE!</v>
      </c>
      <c r="Y152" s="225" t="e">
        <f t="shared" ca="1" si="53"/>
        <v>#VALUE!</v>
      </c>
      <c r="Z152" s="225" t="e">
        <f t="shared" ca="1" si="53"/>
        <v>#VALUE!</v>
      </c>
      <c r="AA152" s="225" t="e">
        <f t="shared" ca="1" si="50"/>
        <v>#VALUE!</v>
      </c>
      <c r="AB152" s="225" t="e">
        <f t="shared" ca="1" si="50"/>
        <v>#VALUE!</v>
      </c>
      <c r="AC152" s="225" t="e">
        <f t="shared" ca="1" si="50"/>
        <v>#VALUE!</v>
      </c>
      <c r="AD152" s="225" t="e">
        <f t="shared" ca="1" si="50"/>
        <v>#VALUE!</v>
      </c>
      <c r="AE152" s="225" t="e">
        <f t="shared" ca="1" si="50"/>
        <v>#VALUE!</v>
      </c>
      <c r="AF152" s="225" t="e">
        <f t="shared" ca="1" si="50"/>
        <v>#VALUE!</v>
      </c>
      <c r="AG152" s="225" t="e">
        <f t="shared" ca="1" si="50"/>
        <v>#VALUE!</v>
      </c>
      <c r="AH152" s="225" t="e">
        <f t="shared" ca="1" si="50"/>
        <v>#VALUE!</v>
      </c>
      <c r="AI152" s="225" t="e">
        <f t="shared" ca="1" si="50"/>
        <v>#VALUE!</v>
      </c>
      <c r="AJ152" s="225" t="e">
        <f t="shared" ca="1" si="50"/>
        <v>#VALUE!</v>
      </c>
      <c r="AK152" s="225" t="e">
        <f t="shared" ca="1" si="50"/>
        <v>#VALUE!</v>
      </c>
      <c r="AL152" s="225" t="e">
        <f t="shared" ca="1" si="50"/>
        <v>#VALUE!</v>
      </c>
      <c r="AM152" s="225" t="e">
        <f t="shared" ca="1" si="50"/>
        <v>#VALUE!</v>
      </c>
      <c r="AN152" s="225" t="e">
        <f t="shared" ca="1" si="50"/>
        <v>#VALUE!</v>
      </c>
      <c r="AO152" s="225" t="e">
        <f t="shared" ca="1" si="50"/>
        <v>#VALUE!</v>
      </c>
      <c r="AP152" s="225" t="e">
        <f t="shared" ca="1" si="50"/>
        <v>#VALUE!</v>
      </c>
    </row>
    <row r="153" spans="1:42">
      <c r="A153" s="61" t="str">
        <f>'[5]TS BYDem'!A92</f>
        <v>*</v>
      </c>
      <c r="B153" s="225" t="s">
        <v>288</v>
      </c>
      <c r="C153" s="225" t="s">
        <v>137</v>
      </c>
      <c r="D153" s="225">
        <f>'[5]TS BYDem'!D92</f>
        <v>0</v>
      </c>
      <c r="E153" s="225" t="s">
        <v>137</v>
      </c>
      <c r="F153" s="225" t="s">
        <v>137</v>
      </c>
      <c r="G153" s="225" t="s">
        <v>137</v>
      </c>
      <c r="H153" s="225" t="s">
        <v>137</v>
      </c>
      <c r="I153" s="225">
        <v>0</v>
      </c>
      <c r="J153" s="225" t="str">
        <f>INDEX('[5]TS BYDem'!$J$10:$J$203,MATCH(D153,'[5]TS BYDem'!$D$10:$D$203,0))</f>
        <v/>
      </c>
      <c r="K153" s="225" t="e">
        <f t="shared" ca="1" si="47"/>
        <v>#VALUE!</v>
      </c>
      <c r="L153" s="225" t="e">
        <f t="shared" ca="1" si="47"/>
        <v>#VALUE!</v>
      </c>
      <c r="M153" s="225" t="e">
        <f t="shared" ca="1" si="47"/>
        <v>#VALUE!</v>
      </c>
      <c r="N153" s="225" t="e">
        <f t="shared" ca="1" si="47"/>
        <v>#VALUE!</v>
      </c>
      <c r="O153" s="225" t="e">
        <f t="shared" ca="1" si="47"/>
        <v>#VALUE!</v>
      </c>
      <c r="P153" s="225" t="e">
        <f t="shared" ca="1" si="53"/>
        <v>#VALUE!</v>
      </c>
      <c r="Q153" s="225" t="e">
        <f t="shared" ca="1" si="53"/>
        <v>#VALUE!</v>
      </c>
      <c r="R153" s="225" t="e">
        <f t="shared" ca="1" si="53"/>
        <v>#VALUE!</v>
      </c>
      <c r="S153" s="225" t="e">
        <f t="shared" ca="1" si="53"/>
        <v>#VALUE!</v>
      </c>
      <c r="T153" s="225" t="e">
        <f t="shared" ca="1" si="53"/>
        <v>#VALUE!</v>
      </c>
      <c r="U153" s="225" t="e">
        <f t="shared" ca="1" si="53"/>
        <v>#VALUE!</v>
      </c>
      <c r="V153" s="225" t="e">
        <f t="shared" ca="1" si="53"/>
        <v>#VALUE!</v>
      </c>
      <c r="W153" s="225" t="e">
        <f t="shared" ca="1" si="53"/>
        <v>#VALUE!</v>
      </c>
      <c r="X153" s="225" t="e">
        <f t="shared" ca="1" si="53"/>
        <v>#VALUE!</v>
      </c>
      <c r="Y153" s="225" t="e">
        <f t="shared" ca="1" si="53"/>
        <v>#VALUE!</v>
      </c>
      <c r="Z153" s="225" t="e">
        <f t="shared" ca="1" si="53"/>
        <v>#VALUE!</v>
      </c>
      <c r="AA153" s="225" t="e">
        <f t="shared" ca="1" si="50"/>
        <v>#VALUE!</v>
      </c>
      <c r="AB153" s="225" t="e">
        <f t="shared" ca="1" si="50"/>
        <v>#VALUE!</v>
      </c>
      <c r="AC153" s="225" t="e">
        <f t="shared" ca="1" si="50"/>
        <v>#VALUE!</v>
      </c>
      <c r="AD153" s="225" t="e">
        <f t="shared" ca="1" si="50"/>
        <v>#VALUE!</v>
      </c>
      <c r="AE153" s="225" t="e">
        <f t="shared" ca="1" si="50"/>
        <v>#VALUE!</v>
      </c>
      <c r="AF153" s="225" t="e">
        <f t="shared" ca="1" si="50"/>
        <v>#VALUE!</v>
      </c>
      <c r="AG153" s="225" t="e">
        <f t="shared" ca="1" si="50"/>
        <v>#VALUE!</v>
      </c>
      <c r="AH153" s="225" t="e">
        <f t="shared" ca="1" si="50"/>
        <v>#VALUE!</v>
      </c>
      <c r="AI153" s="225" t="e">
        <f t="shared" ca="1" si="50"/>
        <v>#VALUE!</v>
      </c>
      <c r="AJ153" s="225" t="e">
        <f t="shared" ca="1" si="50"/>
        <v>#VALUE!</v>
      </c>
      <c r="AK153" s="225" t="e">
        <f t="shared" ca="1" si="50"/>
        <v>#VALUE!</v>
      </c>
      <c r="AL153" s="225" t="e">
        <f t="shared" ca="1" si="50"/>
        <v>#VALUE!</v>
      </c>
      <c r="AM153" s="225" t="e">
        <f t="shared" ca="1" si="50"/>
        <v>#VALUE!</v>
      </c>
      <c r="AN153" s="225" t="e">
        <f t="shared" ca="1" si="50"/>
        <v>#VALUE!</v>
      </c>
      <c r="AO153" s="225" t="e">
        <f t="shared" ca="1" si="50"/>
        <v>#VALUE!</v>
      </c>
      <c r="AP153" s="225" t="e">
        <f t="shared" ca="1" si="50"/>
        <v>#VALUE!</v>
      </c>
    </row>
    <row r="154" spans="1:42" s="5" customFormat="1">
      <c r="A154" s="61" t="str">
        <f>'[5]TS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61" t="str">
        <f>'[5]TS BYDem'!A94</f>
        <v/>
      </c>
      <c r="B155" s="225" t="s">
        <v>288</v>
      </c>
      <c r="C155" s="225" t="s">
        <v>137</v>
      </c>
      <c r="D155" s="225" t="str">
        <f>'[5]TS BYDem'!D94</f>
        <v>INFK</v>
      </c>
      <c r="E155" s="225" t="s">
        <v>137</v>
      </c>
      <c r="F155" s="225" t="s">
        <v>137</v>
      </c>
      <c r="G155" s="225" t="s">
        <v>137</v>
      </c>
      <c r="H155" s="225" t="s">
        <v>137</v>
      </c>
      <c r="I155" s="225">
        <v>0</v>
      </c>
      <c r="J155" s="225">
        <f>INDEX('[5]TS BYDem'!$J$10:$J$203,MATCH(D155,'[5]TS BYDem'!$D$10:$D$203,0))</f>
        <v>0.66789588210349726</v>
      </c>
      <c r="K155" s="225">
        <f ca="1">K$154/J$154*J155</f>
        <v>0.55691021623466685</v>
      </c>
      <c r="L155" s="225">
        <f t="shared" ref="L155:AP164" ca="1" si="55">L$154/K$154*K155</f>
        <v>0.47961662750458856</v>
      </c>
      <c r="M155" s="232">
        <f t="shared" ref="M155:M163" si="56">O155</f>
        <v>0.54078999999999999</v>
      </c>
      <c r="N155" s="232">
        <f t="shared" ref="N155:N163" si="57">O155</f>
        <v>0.54078999999999999</v>
      </c>
      <c r="O155" s="232">
        <f>INDEX('[5]TS BYDem'!$O$10:$O$203,MATCH(D155,'[5]TS BYDem'!$D$10:$D$203,0))</f>
        <v>0.54078999999999999</v>
      </c>
      <c r="P155" s="225">
        <f t="shared" ca="1" si="55"/>
        <v>0.52990161073825504</v>
      </c>
      <c r="Q155" s="225">
        <f t="shared" ca="1" si="55"/>
        <v>0.50086590604026848</v>
      </c>
      <c r="R155" s="225">
        <f t="shared" ca="1" si="55"/>
        <v>0.41103669463087256</v>
      </c>
      <c r="S155" s="225">
        <f t="shared" ca="1" si="55"/>
        <v>0.42555454697986583</v>
      </c>
      <c r="T155" s="225">
        <f t="shared" ca="1" si="55"/>
        <v>0.42736927852348994</v>
      </c>
      <c r="U155" s="225">
        <f t="shared" ca="1" si="55"/>
        <v>0.4300913758389262</v>
      </c>
      <c r="V155" s="225">
        <f t="shared" ca="1" si="55"/>
        <v>0.43281347315436236</v>
      </c>
      <c r="W155" s="225">
        <f t="shared" ca="1" si="55"/>
        <v>0.439165033557047</v>
      </c>
      <c r="X155" s="225">
        <f t="shared" ca="1" si="55"/>
        <v>0.45459025167785239</v>
      </c>
      <c r="Y155" s="225">
        <f t="shared" ca="1" si="55"/>
        <v>0.47273756711409398</v>
      </c>
      <c r="Z155" s="225">
        <f t="shared" ca="1" si="55"/>
        <v>0.4945143456375839</v>
      </c>
      <c r="AA155" s="225">
        <f t="shared" ca="1" si="55"/>
        <v>0.51175429530201333</v>
      </c>
      <c r="AB155" s="225">
        <f t="shared" ca="1" si="55"/>
        <v>0.53353107382550324</v>
      </c>
      <c r="AC155" s="225">
        <f t="shared" ca="1" si="55"/>
        <v>0.55167838926174484</v>
      </c>
      <c r="AD155" s="225">
        <f t="shared" ca="1" si="55"/>
        <v>0.56347414429530185</v>
      </c>
      <c r="AE155" s="225">
        <f t="shared" ca="1" si="55"/>
        <v>0.57708463087248307</v>
      </c>
      <c r="AF155" s="225">
        <f t="shared" ca="1" si="55"/>
        <v>0.59160248322147624</v>
      </c>
      <c r="AG155" s="225">
        <f t="shared" ca="1" si="55"/>
        <v>0.60430560402684541</v>
      </c>
      <c r="AH155" s="225">
        <f t="shared" ca="1" si="55"/>
        <v>0.61973082214765085</v>
      </c>
      <c r="AI155" s="225">
        <f t="shared" ca="1" si="55"/>
        <v>0.63515604026845618</v>
      </c>
      <c r="AJ155" s="225">
        <f t="shared" ca="1" si="55"/>
        <v>0.65058125838926151</v>
      </c>
      <c r="AK155" s="225">
        <f t="shared" ca="1" si="55"/>
        <v>0.66600647651006684</v>
      </c>
      <c r="AL155" s="225">
        <f t="shared" ca="1" si="55"/>
        <v>0.68233906040268433</v>
      </c>
      <c r="AM155" s="225">
        <f t="shared" ca="1" si="55"/>
        <v>0.73315154362416091</v>
      </c>
      <c r="AN155" s="225">
        <f t="shared" ca="1" si="55"/>
        <v>0.80029661073825487</v>
      </c>
      <c r="AO155" s="225">
        <f t="shared" ca="1" si="55"/>
        <v>0.9155320637583868</v>
      </c>
      <c r="AP155" s="225">
        <f t="shared" ca="1" si="55"/>
        <v>1.0334896140939582</v>
      </c>
    </row>
    <row r="156" spans="1:42">
      <c r="A156" s="61" t="str">
        <f>'[5]TS BYDem'!A95</f>
        <v/>
      </c>
      <c r="B156" s="225" t="s">
        <v>288</v>
      </c>
      <c r="C156" s="225" t="s">
        <v>137</v>
      </c>
      <c r="D156" s="225" t="str">
        <f>'[5]TS BYDem'!D95</f>
        <v>INFA</v>
      </c>
      <c r="E156" s="225" t="s">
        <v>137</v>
      </c>
      <c r="F156" s="225" t="s">
        <v>137</v>
      </c>
      <c r="G156" s="225" t="s">
        <v>137</v>
      </c>
      <c r="H156" s="225" t="s">
        <v>137</v>
      </c>
      <c r="I156" s="225">
        <v>0</v>
      </c>
      <c r="J156" s="225">
        <f>INDEX('[5]TS BYDem'!$J$10:$J$203,MATCH(D156,'[5]TS BYDem'!$D$10:$D$203,0))</f>
        <v>0</v>
      </c>
      <c r="K156" s="225">
        <f t="shared" ref="K156:N172" ca="1" si="58">K$154/J$154*J156</f>
        <v>0</v>
      </c>
      <c r="L156" s="225">
        <f t="shared" ca="1" si="55"/>
        <v>0</v>
      </c>
      <c r="M156" s="232">
        <f t="shared" si="56"/>
        <v>0</v>
      </c>
      <c r="N156" s="232">
        <f t="shared" si="57"/>
        <v>0</v>
      </c>
      <c r="O156" s="232">
        <f>INDEX('[5]TS BYDem'!$O$10:$O$203,MATCH(D156,'[5]TS BYDem'!$D$10:$D$203,0))</f>
        <v>0</v>
      </c>
      <c r="P156" s="225">
        <f t="shared" ca="1" si="55"/>
        <v>0</v>
      </c>
      <c r="Q156" s="225">
        <f t="shared" ca="1" si="55"/>
        <v>0</v>
      </c>
      <c r="R156" s="225">
        <f t="shared" ca="1" si="55"/>
        <v>0</v>
      </c>
      <c r="S156" s="225">
        <f t="shared" ca="1" si="55"/>
        <v>0</v>
      </c>
      <c r="T156" s="225">
        <f t="shared" ca="1" si="55"/>
        <v>0</v>
      </c>
      <c r="U156" s="225">
        <f t="shared" ca="1" si="55"/>
        <v>0</v>
      </c>
      <c r="V156" s="225">
        <f t="shared" ca="1" si="55"/>
        <v>0</v>
      </c>
      <c r="W156" s="225">
        <f t="shared" ca="1" si="55"/>
        <v>0</v>
      </c>
      <c r="X156" s="225">
        <f t="shared" ca="1" si="55"/>
        <v>0</v>
      </c>
      <c r="Y156" s="225">
        <f t="shared" ca="1" si="55"/>
        <v>0</v>
      </c>
      <c r="Z156" s="225">
        <f t="shared" ca="1" si="55"/>
        <v>0</v>
      </c>
      <c r="AA156" s="225">
        <f t="shared" ca="1" si="55"/>
        <v>0</v>
      </c>
      <c r="AB156" s="225">
        <f t="shared" ca="1" si="55"/>
        <v>0</v>
      </c>
      <c r="AC156" s="225">
        <f t="shared" ca="1" si="55"/>
        <v>0</v>
      </c>
      <c r="AD156" s="225">
        <f t="shared" ca="1" si="55"/>
        <v>0</v>
      </c>
      <c r="AE156" s="225">
        <f t="shared" ca="1" si="55"/>
        <v>0</v>
      </c>
      <c r="AF156" s="225">
        <f t="shared" ca="1" si="55"/>
        <v>0</v>
      </c>
      <c r="AG156" s="225">
        <f t="shared" ca="1" si="55"/>
        <v>0</v>
      </c>
      <c r="AH156" s="225">
        <f t="shared" ca="1" si="55"/>
        <v>0</v>
      </c>
      <c r="AI156" s="225">
        <f t="shared" ca="1" si="55"/>
        <v>0</v>
      </c>
      <c r="AJ156" s="225">
        <f t="shared" ca="1" si="55"/>
        <v>0</v>
      </c>
      <c r="AK156" s="225">
        <f t="shared" ca="1" si="55"/>
        <v>0</v>
      </c>
      <c r="AL156" s="225">
        <f t="shared" ca="1" si="55"/>
        <v>0</v>
      </c>
      <c r="AM156" s="225">
        <f t="shared" ca="1" si="55"/>
        <v>0</v>
      </c>
      <c r="AN156" s="225">
        <f t="shared" ca="1" si="55"/>
        <v>0</v>
      </c>
      <c r="AO156" s="225">
        <f t="shared" ca="1" si="55"/>
        <v>0</v>
      </c>
      <c r="AP156" s="225">
        <f t="shared" ca="1" si="55"/>
        <v>0</v>
      </c>
    </row>
    <row r="157" spans="1:42">
      <c r="A157" s="61" t="str">
        <f>'[5]TS BYDem'!A96</f>
        <v/>
      </c>
      <c r="B157" s="225" t="s">
        <v>288</v>
      </c>
      <c r="C157" s="225" t="s">
        <v>137</v>
      </c>
      <c r="D157" s="225" t="str">
        <f>'[5]TS BYDem'!D96</f>
        <v>INFL</v>
      </c>
      <c r="E157" s="225" t="s">
        <v>137</v>
      </c>
      <c r="F157" s="225" t="s">
        <v>137</v>
      </c>
      <c r="G157" s="225" t="s">
        <v>137</v>
      </c>
      <c r="H157" s="225" t="s">
        <v>137</v>
      </c>
      <c r="I157" s="225">
        <v>0</v>
      </c>
      <c r="J157" s="225">
        <f>INDEX('[5]TS BYDem'!$J$10:$J$203,MATCH(D157,'[5]TS BYDem'!$D$10:$D$203,0))</f>
        <v>0.20036876463104916</v>
      </c>
      <c r="K157" s="225">
        <f t="shared" ca="1" si="58"/>
        <v>0.16707306487040005</v>
      </c>
      <c r="L157" s="225">
        <f t="shared" ca="1" si="55"/>
        <v>0.14388498825137655</v>
      </c>
      <c r="M157" s="232">
        <f t="shared" si="56"/>
        <v>0.16223699999999999</v>
      </c>
      <c r="N157" s="232">
        <f t="shared" si="57"/>
        <v>0.16223699999999999</v>
      </c>
      <c r="O157" s="232">
        <f>INDEX('[5]TS BYDem'!$O$10:$O$203,MATCH(D157,'[5]TS BYDem'!$D$10:$D$203,0))</f>
        <v>0.16223699999999999</v>
      </c>
      <c r="P157" s="225">
        <f t="shared" ca="1" si="55"/>
        <v>0.1589704832214765</v>
      </c>
      <c r="Q157" s="225">
        <f t="shared" ca="1" si="55"/>
        <v>0.15025977181208053</v>
      </c>
      <c r="R157" s="225">
        <f t="shared" ca="1" si="55"/>
        <v>0.12331100838926175</v>
      </c>
      <c r="S157" s="225">
        <f t="shared" ca="1" si="55"/>
        <v>0.12766636409395973</v>
      </c>
      <c r="T157" s="225">
        <f t="shared" ca="1" si="55"/>
        <v>0.12821078355704696</v>
      </c>
      <c r="U157" s="225">
        <f t="shared" ca="1" si="55"/>
        <v>0.12902741275167784</v>
      </c>
      <c r="V157" s="225">
        <f t="shared" ca="1" si="55"/>
        <v>0.12984404194630869</v>
      </c>
      <c r="W157" s="225">
        <f t="shared" ca="1" si="55"/>
        <v>0.13174951006711408</v>
      </c>
      <c r="X157" s="225">
        <f t="shared" ca="1" si="55"/>
        <v>0.1363770755033557</v>
      </c>
      <c r="Y157" s="225">
        <f t="shared" ca="1" si="55"/>
        <v>0.14182127013422818</v>
      </c>
      <c r="Z157" s="225">
        <f t="shared" ca="1" si="55"/>
        <v>0.14835430369127517</v>
      </c>
      <c r="AA157" s="225">
        <f t="shared" ca="1" si="55"/>
        <v>0.15352628859060399</v>
      </c>
      <c r="AB157" s="225">
        <f t="shared" ca="1" si="55"/>
        <v>0.16005932214765098</v>
      </c>
      <c r="AC157" s="225">
        <f t="shared" ca="1" si="55"/>
        <v>0.16550351677852346</v>
      </c>
      <c r="AD157" s="225">
        <f t="shared" ca="1" si="55"/>
        <v>0.16904224328859055</v>
      </c>
      <c r="AE157" s="225">
        <f t="shared" ca="1" si="55"/>
        <v>0.17312538926174492</v>
      </c>
      <c r="AF157" s="225">
        <f t="shared" ca="1" si="55"/>
        <v>0.17748074496644287</v>
      </c>
      <c r="AG157" s="225">
        <f t="shared" ca="1" si="55"/>
        <v>0.18129168120805361</v>
      </c>
      <c r="AH157" s="225">
        <f t="shared" ca="1" si="55"/>
        <v>0.18591924664429524</v>
      </c>
      <c r="AI157" s="225">
        <f t="shared" ca="1" si="55"/>
        <v>0.19054681208053684</v>
      </c>
      <c r="AJ157" s="225">
        <f t="shared" ca="1" si="55"/>
        <v>0.19517437751677844</v>
      </c>
      <c r="AK157" s="225">
        <f t="shared" ca="1" si="55"/>
        <v>0.19980194295302003</v>
      </c>
      <c r="AL157" s="225">
        <f t="shared" ca="1" si="55"/>
        <v>0.20470171812080526</v>
      </c>
      <c r="AM157" s="225">
        <f t="shared" ca="1" si="55"/>
        <v>0.21994546308724822</v>
      </c>
      <c r="AN157" s="225">
        <f t="shared" ca="1" si="55"/>
        <v>0.24008898322147643</v>
      </c>
      <c r="AO157" s="225">
        <f t="shared" ca="1" si="55"/>
        <v>0.27465961912751602</v>
      </c>
      <c r="AP157" s="225">
        <f t="shared" ca="1" si="55"/>
        <v>0.31004688422818744</v>
      </c>
    </row>
    <row r="158" spans="1:42">
      <c r="A158" s="61" t="str">
        <f>'[5]TS BYDem'!A97</f>
        <v/>
      </c>
      <c r="B158" s="225" t="s">
        <v>288</v>
      </c>
      <c r="C158" s="225" t="s">
        <v>137</v>
      </c>
      <c r="D158" s="225" t="str">
        <f>'[5]TS BYDem'!D97</f>
        <v>INFC</v>
      </c>
      <c r="E158" s="225" t="s">
        <v>137</v>
      </c>
      <c r="F158" s="225" t="s">
        <v>137</v>
      </c>
      <c r="G158" s="225" t="s">
        <v>137</v>
      </c>
      <c r="H158" s="225" t="s">
        <v>137</v>
      </c>
      <c r="I158" s="225">
        <v>0</v>
      </c>
      <c r="J158" s="225">
        <f>INDEX('[5]TS BYDem'!$J$10:$J$203,MATCH(D158,'[5]TS BYDem'!$D$10:$D$203,0))</f>
        <v>0</v>
      </c>
      <c r="K158" s="225">
        <f t="shared" ca="1" si="58"/>
        <v>0</v>
      </c>
      <c r="L158" s="225">
        <f t="shared" ca="1" si="55"/>
        <v>0</v>
      </c>
      <c r="M158" s="232">
        <f t="shared" si="56"/>
        <v>0</v>
      </c>
      <c r="N158" s="232">
        <f t="shared" si="57"/>
        <v>0</v>
      </c>
      <c r="O158" s="232">
        <f>INDEX('[5]TS BYDem'!$O$10:$O$203,MATCH(D158,'[5]TS BYDem'!$D$10:$D$203,0))</f>
        <v>0</v>
      </c>
      <c r="P158" s="225">
        <f t="shared" ca="1" si="55"/>
        <v>0</v>
      </c>
      <c r="Q158" s="225">
        <f t="shared" ca="1" si="55"/>
        <v>0</v>
      </c>
      <c r="R158" s="225">
        <f t="shared" ca="1" si="55"/>
        <v>0</v>
      </c>
      <c r="S158" s="225">
        <f t="shared" ca="1" si="55"/>
        <v>0</v>
      </c>
      <c r="T158" s="225">
        <f t="shared" ca="1" si="55"/>
        <v>0</v>
      </c>
      <c r="U158" s="225">
        <f t="shared" ca="1" si="55"/>
        <v>0</v>
      </c>
      <c r="V158" s="225">
        <f t="shared" ca="1" si="55"/>
        <v>0</v>
      </c>
      <c r="W158" s="225">
        <f t="shared" ca="1" si="55"/>
        <v>0</v>
      </c>
      <c r="X158" s="225">
        <f t="shared" ca="1" si="55"/>
        <v>0</v>
      </c>
      <c r="Y158" s="225">
        <f t="shared" ca="1" si="55"/>
        <v>0</v>
      </c>
      <c r="Z158" s="225">
        <f t="shared" ca="1" si="55"/>
        <v>0</v>
      </c>
      <c r="AA158" s="225">
        <f t="shared" ca="1" si="55"/>
        <v>0</v>
      </c>
      <c r="AB158" s="225">
        <f t="shared" ca="1" si="55"/>
        <v>0</v>
      </c>
      <c r="AC158" s="225">
        <f t="shared" ca="1" si="55"/>
        <v>0</v>
      </c>
      <c r="AD158" s="225">
        <f t="shared" ca="1" si="55"/>
        <v>0</v>
      </c>
      <c r="AE158" s="225">
        <f t="shared" ca="1" si="55"/>
        <v>0</v>
      </c>
      <c r="AF158" s="225">
        <f t="shared" ca="1" si="55"/>
        <v>0</v>
      </c>
      <c r="AG158" s="225">
        <f t="shared" ca="1" si="55"/>
        <v>0</v>
      </c>
      <c r="AH158" s="225">
        <f t="shared" ca="1" si="55"/>
        <v>0</v>
      </c>
      <c r="AI158" s="225">
        <f t="shared" ca="1" si="55"/>
        <v>0</v>
      </c>
      <c r="AJ158" s="225">
        <f t="shared" ca="1" si="55"/>
        <v>0</v>
      </c>
      <c r="AK158" s="225">
        <f t="shared" ca="1" si="55"/>
        <v>0</v>
      </c>
      <c r="AL158" s="225">
        <f t="shared" ca="1" si="55"/>
        <v>0</v>
      </c>
      <c r="AM158" s="225">
        <f t="shared" ca="1" si="55"/>
        <v>0</v>
      </c>
      <c r="AN158" s="225">
        <f t="shared" ca="1" si="55"/>
        <v>0</v>
      </c>
      <c r="AO158" s="225">
        <f t="shared" ca="1" si="55"/>
        <v>0</v>
      </c>
      <c r="AP158" s="225">
        <f t="shared" ca="1" si="55"/>
        <v>0</v>
      </c>
    </row>
    <row r="159" spans="1:42">
      <c r="A159" s="61" t="str">
        <f>'[5]TS BYDem'!A98</f>
        <v/>
      </c>
      <c r="B159" s="225" t="s">
        <v>288</v>
      </c>
      <c r="C159" s="225" t="s">
        <v>137</v>
      </c>
      <c r="D159" s="225" t="str">
        <f>'[5]TS BYDem'!D98</f>
        <v>INFH</v>
      </c>
      <c r="E159" s="225" t="s">
        <v>137</v>
      </c>
      <c r="F159" s="225" t="s">
        <v>137</v>
      </c>
      <c r="G159" s="225" t="s">
        <v>137</v>
      </c>
      <c r="H159" s="225" t="s">
        <v>137</v>
      </c>
      <c r="I159" s="225">
        <v>0</v>
      </c>
      <c r="J159" s="225">
        <f>INDEX('[5]TS BYDem'!$J$10:$J$203,MATCH(D159,'[5]TS BYDem'!$D$10:$D$203,0))</f>
        <v>0.60110629389314751</v>
      </c>
      <c r="K159" s="225">
        <f t="shared" ca="1" si="58"/>
        <v>0.50121919461120013</v>
      </c>
      <c r="L159" s="225">
        <f t="shared" ca="1" si="55"/>
        <v>0.43165496475412962</v>
      </c>
      <c r="M159" s="232">
        <f t="shared" si="56"/>
        <v>0.486711</v>
      </c>
      <c r="N159" s="232">
        <f t="shared" si="57"/>
        <v>0.486711</v>
      </c>
      <c r="O159" s="232">
        <f>INDEX('[5]TS BYDem'!$O$10:$O$203,MATCH(D159,'[5]TS BYDem'!$D$10:$D$203,0))</f>
        <v>0.486711</v>
      </c>
      <c r="P159" s="225">
        <f t="shared" ca="1" si="55"/>
        <v>0.47691144966442955</v>
      </c>
      <c r="Q159" s="225">
        <f t="shared" ca="1" si="55"/>
        <v>0.45077931543624161</v>
      </c>
      <c r="R159" s="225">
        <f t="shared" ca="1" si="55"/>
        <v>0.36993302516778526</v>
      </c>
      <c r="S159" s="225">
        <f t="shared" ca="1" si="55"/>
        <v>0.38299909228187923</v>
      </c>
      <c r="T159" s="225">
        <f t="shared" ca="1" si="55"/>
        <v>0.38463235067114093</v>
      </c>
      <c r="U159" s="225">
        <f t="shared" ca="1" si="55"/>
        <v>0.38708223825503357</v>
      </c>
      <c r="V159" s="225">
        <f t="shared" ca="1" si="55"/>
        <v>0.3895321258389261</v>
      </c>
      <c r="W159" s="225">
        <f t="shared" ca="1" si="55"/>
        <v>0.39524853020134226</v>
      </c>
      <c r="X159" s="225">
        <f t="shared" ca="1" si="55"/>
        <v>0.40913122651006711</v>
      </c>
      <c r="Y159" s="225">
        <f t="shared" ca="1" si="55"/>
        <v>0.42546381040268455</v>
      </c>
      <c r="Z159" s="225">
        <f t="shared" ca="1" si="55"/>
        <v>0.44506291107382545</v>
      </c>
      <c r="AA159" s="225">
        <f t="shared" ca="1" si="55"/>
        <v>0.46057886577181195</v>
      </c>
      <c r="AB159" s="225">
        <f t="shared" ca="1" si="55"/>
        <v>0.48017796644295291</v>
      </c>
      <c r="AC159" s="225">
        <f t="shared" ca="1" si="55"/>
        <v>0.4965105503355704</v>
      </c>
      <c r="AD159" s="225">
        <f t="shared" ca="1" si="55"/>
        <v>0.50712672986577167</v>
      </c>
      <c r="AE159" s="225">
        <f t="shared" ca="1" si="55"/>
        <v>0.51937616778523477</v>
      </c>
      <c r="AF159" s="225">
        <f t="shared" ca="1" si="55"/>
        <v>0.53244223489932863</v>
      </c>
      <c r="AG159" s="225">
        <f t="shared" ca="1" si="55"/>
        <v>0.54387504362416084</v>
      </c>
      <c r="AH159" s="225">
        <f t="shared" ca="1" si="55"/>
        <v>0.55775773993288569</v>
      </c>
      <c r="AI159" s="225">
        <f t="shared" ca="1" si="55"/>
        <v>0.57164043624161043</v>
      </c>
      <c r="AJ159" s="225">
        <f t="shared" ca="1" si="55"/>
        <v>0.58552313255033528</v>
      </c>
      <c r="AK159" s="225">
        <f t="shared" ca="1" si="55"/>
        <v>0.59940582885906002</v>
      </c>
      <c r="AL159" s="225">
        <f t="shared" ca="1" si="55"/>
        <v>0.61410515436241575</v>
      </c>
      <c r="AM159" s="225">
        <f t="shared" ca="1" si="55"/>
        <v>0.65983638926174459</v>
      </c>
      <c r="AN159" s="225">
        <f t="shared" ca="1" si="55"/>
        <v>0.72026694966442917</v>
      </c>
      <c r="AO159" s="225">
        <f t="shared" ca="1" si="55"/>
        <v>0.82397885738254795</v>
      </c>
      <c r="AP159" s="225">
        <f t="shared" ca="1" si="55"/>
        <v>0.93014065268456214</v>
      </c>
    </row>
    <row r="160" spans="1:42">
      <c r="A160" s="61" t="str">
        <f>'[5]TS BYDem'!A99</f>
        <v/>
      </c>
      <c r="B160" s="225" t="s">
        <v>288</v>
      </c>
      <c r="C160" s="225" t="s">
        <v>137</v>
      </c>
      <c r="D160" s="225" t="str">
        <f>'[5]TS BYDem'!D99</f>
        <v>INFP</v>
      </c>
      <c r="E160" s="225" t="s">
        <v>137</v>
      </c>
      <c r="F160" s="225" t="s">
        <v>137</v>
      </c>
      <c r="G160" s="225" t="s">
        <v>137</v>
      </c>
      <c r="H160" s="225" t="s">
        <v>137</v>
      </c>
      <c r="I160" s="225">
        <v>0</v>
      </c>
      <c r="J160" s="225">
        <f>INDEX('[5]TS BYDem'!$J$10:$J$203,MATCH(D160,'[5]TS BYDem'!$D$10:$D$203,0))</f>
        <v>0</v>
      </c>
      <c r="K160" s="225">
        <f t="shared" ca="1" si="58"/>
        <v>0</v>
      </c>
      <c r="L160" s="225">
        <f t="shared" ca="1" si="55"/>
        <v>0</v>
      </c>
      <c r="M160" s="232">
        <f t="shared" si="56"/>
        <v>0</v>
      </c>
      <c r="N160" s="232">
        <f t="shared" si="57"/>
        <v>0</v>
      </c>
      <c r="O160" s="232">
        <f>INDEX('[5]TS BYDem'!$O$10:$O$203,MATCH(D160,'[5]TS BYDem'!$D$10:$D$203,0))</f>
        <v>0</v>
      </c>
      <c r="P160" s="225">
        <f t="shared" ca="1" si="55"/>
        <v>0</v>
      </c>
      <c r="Q160" s="225">
        <f t="shared" ca="1" si="55"/>
        <v>0</v>
      </c>
      <c r="R160" s="225">
        <f t="shared" ca="1" si="55"/>
        <v>0</v>
      </c>
      <c r="S160" s="225">
        <f t="shared" ca="1" si="55"/>
        <v>0</v>
      </c>
      <c r="T160" s="225">
        <f t="shared" ca="1" si="55"/>
        <v>0</v>
      </c>
      <c r="U160" s="225">
        <f t="shared" ca="1" si="55"/>
        <v>0</v>
      </c>
      <c r="V160" s="225">
        <f t="shared" ca="1" si="55"/>
        <v>0</v>
      </c>
      <c r="W160" s="225">
        <f t="shared" ca="1" si="55"/>
        <v>0</v>
      </c>
      <c r="X160" s="225">
        <f t="shared" ca="1" si="55"/>
        <v>0</v>
      </c>
      <c r="Y160" s="225">
        <f t="shared" ca="1" si="55"/>
        <v>0</v>
      </c>
      <c r="Z160" s="225">
        <f t="shared" ca="1" si="55"/>
        <v>0</v>
      </c>
      <c r="AA160" s="225">
        <f t="shared" ca="1" si="55"/>
        <v>0</v>
      </c>
      <c r="AB160" s="225">
        <f t="shared" ca="1" si="55"/>
        <v>0</v>
      </c>
      <c r="AC160" s="225">
        <f t="shared" ca="1" si="55"/>
        <v>0</v>
      </c>
      <c r="AD160" s="225">
        <f t="shared" ca="1" si="55"/>
        <v>0</v>
      </c>
      <c r="AE160" s="225">
        <f t="shared" ca="1" si="55"/>
        <v>0</v>
      </c>
      <c r="AF160" s="225">
        <f t="shared" ca="1" si="55"/>
        <v>0</v>
      </c>
      <c r="AG160" s="225">
        <f t="shared" ca="1" si="55"/>
        <v>0</v>
      </c>
      <c r="AH160" s="225">
        <f t="shared" ca="1" si="55"/>
        <v>0</v>
      </c>
      <c r="AI160" s="225">
        <f t="shared" ca="1" si="55"/>
        <v>0</v>
      </c>
      <c r="AJ160" s="225">
        <f t="shared" ca="1" si="55"/>
        <v>0</v>
      </c>
      <c r="AK160" s="225">
        <f t="shared" ca="1" si="55"/>
        <v>0</v>
      </c>
      <c r="AL160" s="225">
        <f t="shared" ca="1" si="55"/>
        <v>0</v>
      </c>
      <c r="AM160" s="225">
        <f t="shared" ca="1" si="55"/>
        <v>0</v>
      </c>
      <c r="AN160" s="225">
        <f t="shared" ca="1" si="55"/>
        <v>0</v>
      </c>
      <c r="AO160" s="225">
        <f t="shared" ca="1" si="55"/>
        <v>0</v>
      </c>
      <c r="AP160" s="225">
        <f t="shared" ca="1" si="55"/>
        <v>0</v>
      </c>
    </row>
    <row r="161" spans="1:42">
      <c r="A161" s="61" t="str">
        <f>'[5]TS BYDem'!A100</f>
        <v/>
      </c>
      <c r="B161" s="225" t="s">
        <v>288</v>
      </c>
      <c r="C161" s="225" t="s">
        <v>137</v>
      </c>
      <c r="D161" s="225" t="str">
        <f>'[5]TS BYDem'!D100</f>
        <v>INFF</v>
      </c>
      <c r="E161" s="225" t="s">
        <v>137</v>
      </c>
      <c r="F161" s="225" t="s">
        <v>137</v>
      </c>
      <c r="G161" s="225" t="s">
        <v>137</v>
      </c>
      <c r="H161" s="225" t="s">
        <v>137</v>
      </c>
      <c r="I161" s="225">
        <v>0</v>
      </c>
      <c r="J161" s="225">
        <f>INDEX('[5]TS BYDem'!$J$10:$J$203,MATCH(D161,'[5]TS BYDem'!$D$10:$D$203,0))</f>
        <v>0</v>
      </c>
      <c r="K161" s="225">
        <f t="shared" ca="1" si="58"/>
        <v>0</v>
      </c>
      <c r="L161" s="225">
        <f t="shared" ca="1" si="55"/>
        <v>0</v>
      </c>
      <c r="M161" s="232">
        <f t="shared" si="56"/>
        <v>0</v>
      </c>
      <c r="N161" s="232">
        <f t="shared" si="57"/>
        <v>0</v>
      </c>
      <c r="O161" s="232">
        <f>INDEX('[5]TS BYDem'!$O$10:$O$203,MATCH(D161,'[5]TS BYDem'!$D$10:$D$203,0))</f>
        <v>0</v>
      </c>
      <c r="P161" s="225">
        <f t="shared" ca="1" si="55"/>
        <v>0</v>
      </c>
      <c r="Q161" s="225">
        <f t="shared" ca="1" si="55"/>
        <v>0</v>
      </c>
      <c r="R161" s="225">
        <f t="shared" ca="1" si="55"/>
        <v>0</v>
      </c>
      <c r="S161" s="225">
        <f t="shared" ca="1" si="55"/>
        <v>0</v>
      </c>
      <c r="T161" s="225">
        <f t="shared" ca="1" si="55"/>
        <v>0</v>
      </c>
      <c r="U161" s="225">
        <f t="shared" ca="1" si="55"/>
        <v>0</v>
      </c>
      <c r="V161" s="225">
        <f t="shared" ca="1" si="55"/>
        <v>0</v>
      </c>
      <c r="W161" s="225">
        <f t="shared" ca="1" si="55"/>
        <v>0</v>
      </c>
      <c r="X161" s="225">
        <f t="shared" ca="1" si="55"/>
        <v>0</v>
      </c>
      <c r="Y161" s="225">
        <f t="shared" ca="1" si="55"/>
        <v>0</v>
      </c>
      <c r="Z161" s="225">
        <f t="shared" ca="1" si="55"/>
        <v>0</v>
      </c>
      <c r="AA161" s="225">
        <f t="shared" ca="1" si="55"/>
        <v>0</v>
      </c>
      <c r="AB161" s="225">
        <f t="shared" ca="1" si="55"/>
        <v>0</v>
      </c>
      <c r="AC161" s="225">
        <f t="shared" ca="1" si="55"/>
        <v>0</v>
      </c>
      <c r="AD161" s="225">
        <f t="shared" ca="1" si="55"/>
        <v>0</v>
      </c>
      <c r="AE161" s="225">
        <f t="shared" ca="1" si="55"/>
        <v>0</v>
      </c>
      <c r="AF161" s="225">
        <f t="shared" ca="1" si="55"/>
        <v>0</v>
      </c>
      <c r="AG161" s="225">
        <f t="shared" ca="1" si="55"/>
        <v>0</v>
      </c>
      <c r="AH161" s="225">
        <f t="shared" ca="1" si="55"/>
        <v>0</v>
      </c>
      <c r="AI161" s="225">
        <f t="shared" ca="1" si="55"/>
        <v>0</v>
      </c>
      <c r="AJ161" s="225">
        <f t="shared" ca="1" si="55"/>
        <v>0</v>
      </c>
      <c r="AK161" s="225">
        <f t="shared" ca="1" si="55"/>
        <v>0</v>
      </c>
      <c r="AL161" s="225">
        <f t="shared" ca="1" si="55"/>
        <v>0</v>
      </c>
      <c r="AM161" s="225">
        <f t="shared" ca="1" si="55"/>
        <v>0</v>
      </c>
      <c r="AN161" s="225">
        <f t="shared" ca="1" si="55"/>
        <v>0</v>
      </c>
      <c r="AO161" s="225">
        <f t="shared" ca="1" si="55"/>
        <v>0</v>
      </c>
      <c r="AP161" s="225">
        <f t="shared" ca="1" si="55"/>
        <v>0</v>
      </c>
    </row>
    <row r="162" spans="1:42">
      <c r="A162" s="61" t="str">
        <f>'[5]TS BYDem'!A101</f>
        <v/>
      </c>
      <c r="B162" s="225" t="s">
        <v>288</v>
      </c>
      <c r="C162" s="225" t="s">
        <v>137</v>
      </c>
      <c r="D162" s="225" t="str">
        <f>'[5]TS BYDem'!D101</f>
        <v>INFO</v>
      </c>
      <c r="E162" s="225" t="s">
        <v>137</v>
      </c>
      <c r="F162" s="225" t="s">
        <v>137</v>
      </c>
      <c r="G162" s="225" t="s">
        <v>137</v>
      </c>
      <c r="H162" s="225" t="s">
        <v>137</v>
      </c>
      <c r="I162" s="225">
        <v>0</v>
      </c>
      <c r="J162" s="225">
        <f>INDEX('[5]TS BYDem'!$J$10:$J$203,MATCH(D162,'[5]TS BYDem'!$D$10:$D$203,0))</f>
        <v>3.7402169397795855</v>
      </c>
      <c r="K162" s="225">
        <f t="shared" ca="1" si="58"/>
        <v>3.1186972109141351</v>
      </c>
      <c r="L162" s="225">
        <f t="shared" ca="1" si="55"/>
        <v>2.6858531140256963</v>
      </c>
      <c r="M162" s="232">
        <f t="shared" si="56"/>
        <v>3.0284240000000007</v>
      </c>
      <c r="N162" s="232">
        <f t="shared" si="57"/>
        <v>3.0284240000000007</v>
      </c>
      <c r="O162" s="232">
        <f>INDEX('[5]TS BYDem'!$O$10:$O$203,MATCH(D162,'[5]TS BYDem'!$D$10:$D$203,0))</f>
        <v>3.0284240000000007</v>
      </c>
      <c r="P162" s="225">
        <f t="shared" ca="1" si="55"/>
        <v>2.9674490201342287</v>
      </c>
      <c r="Q162" s="225">
        <f t="shared" ca="1" si="55"/>
        <v>2.8048490738255039</v>
      </c>
      <c r="R162" s="225">
        <f t="shared" ca="1" si="55"/>
        <v>2.3018054899328866</v>
      </c>
      <c r="S162" s="225">
        <f t="shared" ca="1" si="55"/>
        <v>2.383105463087249</v>
      </c>
      <c r="T162" s="225">
        <f t="shared" ca="1" si="55"/>
        <v>2.3932679597315443</v>
      </c>
      <c r="U162" s="225">
        <f t="shared" ca="1" si="55"/>
        <v>2.4085117046979874</v>
      </c>
      <c r="V162" s="225">
        <f t="shared" ca="1" si="55"/>
        <v>2.42375544966443</v>
      </c>
      <c r="W162" s="225">
        <f t="shared" ca="1" si="55"/>
        <v>2.4593241879194641</v>
      </c>
      <c r="X162" s="225">
        <f t="shared" ca="1" si="55"/>
        <v>2.5457054093959743</v>
      </c>
      <c r="Y162" s="225">
        <f t="shared" ca="1" si="55"/>
        <v>2.6473303758389273</v>
      </c>
      <c r="Z162" s="225">
        <f t="shared" ca="1" si="55"/>
        <v>2.7692803355704707</v>
      </c>
      <c r="AA162" s="225">
        <f t="shared" ca="1" si="55"/>
        <v>2.8658240536912758</v>
      </c>
      <c r="AB162" s="225">
        <f t="shared" ca="1" si="55"/>
        <v>2.9877740134228197</v>
      </c>
      <c r="AC162" s="225">
        <f t="shared" ca="1" si="55"/>
        <v>3.0893989798657731</v>
      </c>
      <c r="AD162" s="225">
        <f t="shared" ca="1" si="55"/>
        <v>3.1554552080536924</v>
      </c>
      <c r="AE162" s="225">
        <f t="shared" ca="1" si="55"/>
        <v>3.2316739328859074</v>
      </c>
      <c r="AF162" s="225">
        <f t="shared" ca="1" si="55"/>
        <v>3.312973906040269</v>
      </c>
      <c r="AG162" s="225">
        <f t="shared" ca="1" si="55"/>
        <v>3.3841113825503366</v>
      </c>
      <c r="AH162" s="225">
        <f t="shared" ca="1" si="55"/>
        <v>3.4704926040268469</v>
      </c>
      <c r="AI162" s="225">
        <f t="shared" ca="1" si="55"/>
        <v>3.5568738255033567</v>
      </c>
      <c r="AJ162" s="225">
        <f t="shared" ca="1" si="55"/>
        <v>3.6432550469798666</v>
      </c>
      <c r="AK162" s="225">
        <f t="shared" ca="1" si="55"/>
        <v>3.7296362684563764</v>
      </c>
      <c r="AL162" s="225">
        <f t="shared" ca="1" si="55"/>
        <v>3.8210987382550341</v>
      </c>
      <c r="AM162" s="225">
        <f t="shared" ca="1" si="55"/>
        <v>4.1056486442953029</v>
      </c>
      <c r="AN162" s="225">
        <f t="shared" ca="1" si="55"/>
        <v>4.4816610201342293</v>
      </c>
      <c r="AO162" s="225">
        <f t="shared" ca="1" si="55"/>
        <v>5.1269795570469689</v>
      </c>
      <c r="AP162" s="225">
        <f t="shared" ca="1" si="55"/>
        <v>5.7875418389261695</v>
      </c>
    </row>
    <row r="163" spans="1:42">
      <c r="A163" s="61" t="str">
        <f>'[5]TS BYDem'!A102</f>
        <v/>
      </c>
      <c r="B163" s="225" t="s">
        <v>288</v>
      </c>
      <c r="C163" s="225" t="s">
        <v>137</v>
      </c>
      <c r="D163" s="225" t="str">
        <f>'[5]TS BYDem'!D102</f>
        <v>INFE</v>
      </c>
      <c r="E163" s="225" t="s">
        <v>137</v>
      </c>
      <c r="F163" s="225" t="s">
        <v>137</v>
      </c>
      <c r="G163" s="225" t="s">
        <v>137</v>
      </c>
      <c r="H163" s="225" t="s">
        <v>137</v>
      </c>
      <c r="I163" s="225">
        <v>0</v>
      </c>
      <c r="J163" s="225">
        <f>INDEX('[5]TS BYDem'!$J$10:$J$203,MATCH(D163,'[5]TS BYDem'!$D$10:$D$203,0))</f>
        <v>45.684078335879221</v>
      </c>
      <c r="K163" s="225">
        <f t="shared" ca="1" si="58"/>
        <v>38.092658790451225</v>
      </c>
      <c r="L163" s="225">
        <f t="shared" ca="1" si="55"/>
        <v>32.805777321313869</v>
      </c>
      <c r="M163" s="232">
        <f t="shared" si="56"/>
        <v>36.990036000000003</v>
      </c>
      <c r="N163" s="232">
        <f t="shared" si="57"/>
        <v>36.990036000000003</v>
      </c>
      <c r="O163" s="232">
        <f>INDEX('[5]TS BYDem'!$O$10:$O$203,MATCH(D163,'[5]TS BYDem'!$D$10:$D$203,0))</f>
        <v>36.990036000000003</v>
      </c>
      <c r="P163" s="225">
        <f t="shared" ca="1" si="55"/>
        <v>36.245270174496646</v>
      </c>
      <c r="Q163" s="225">
        <f t="shared" ca="1" si="55"/>
        <v>34.259227973154367</v>
      </c>
      <c r="R163" s="225">
        <f t="shared" ca="1" si="55"/>
        <v>28.114909912751685</v>
      </c>
      <c r="S163" s="225">
        <f t="shared" ca="1" si="55"/>
        <v>29.107931013422824</v>
      </c>
      <c r="T163" s="225">
        <f t="shared" ca="1" si="55"/>
        <v>29.232058651006714</v>
      </c>
      <c r="U163" s="225">
        <f t="shared" ca="1" si="55"/>
        <v>29.418250107382551</v>
      </c>
      <c r="V163" s="225">
        <f t="shared" ca="1" si="55"/>
        <v>29.604441563758385</v>
      </c>
      <c r="W163" s="225">
        <f t="shared" ca="1" si="55"/>
        <v>30.038888295302012</v>
      </c>
      <c r="X163" s="225">
        <f t="shared" ca="1" si="55"/>
        <v>31.0939732147651</v>
      </c>
      <c r="Y163" s="225">
        <f t="shared" ca="1" si="55"/>
        <v>32.335249590604022</v>
      </c>
      <c r="Z163" s="225">
        <f t="shared" ca="1" si="55"/>
        <v>33.824781241610729</v>
      </c>
      <c r="AA163" s="225">
        <f t="shared" ca="1" si="55"/>
        <v>35.003993798657703</v>
      </c>
      <c r="AB163" s="225">
        <f t="shared" ca="1" si="55"/>
        <v>36.493525449664418</v>
      </c>
      <c r="AC163" s="225">
        <f t="shared" ca="1" si="55"/>
        <v>37.734801825503347</v>
      </c>
      <c r="AD163" s="225">
        <f t="shared" ca="1" si="55"/>
        <v>38.541631469798645</v>
      </c>
      <c r="AE163" s="225">
        <f t="shared" ca="1" si="55"/>
        <v>39.47258875167784</v>
      </c>
      <c r="AF163" s="225">
        <f t="shared" ca="1" si="55"/>
        <v>40.465609852348969</v>
      </c>
      <c r="AG163" s="225">
        <f t="shared" ca="1" si="55"/>
        <v>41.334503315436223</v>
      </c>
      <c r="AH163" s="225">
        <f t="shared" ca="1" si="55"/>
        <v>42.389588234899314</v>
      </c>
      <c r="AI163" s="225">
        <f t="shared" ca="1" si="55"/>
        <v>43.444673154362398</v>
      </c>
      <c r="AJ163" s="225">
        <f t="shared" ca="1" si="55"/>
        <v>44.499758073825483</v>
      </c>
      <c r="AK163" s="225">
        <f t="shared" ca="1" si="55"/>
        <v>45.554842993288567</v>
      </c>
      <c r="AL163" s="225">
        <f t="shared" ca="1" si="55"/>
        <v>46.671991731543599</v>
      </c>
      <c r="AM163" s="225">
        <f t="shared" ca="1" si="55"/>
        <v>50.147565583892593</v>
      </c>
      <c r="AN163" s="225">
        <f t="shared" ca="1" si="55"/>
        <v>54.740288174496619</v>
      </c>
      <c r="AO163" s="225">
        <f t="shared" ca="1" si="55"/>
        <v>62.622393161073646</v>
      </c>
      <c r="AP163" s="225">
        <f t="shared" ca="1" si="55"/>
        <v>70.69068960402673</v>
      </c>
    </row>
    <row r="164" spans="1:42">
      <c r="A164" s="61" t="str">
        <f>'[5]TS BYDem'!A103</f>
        <v>*</v>
      </c>
      <c r="B164" s="225" t="s">
        <v>288</v>
      </c>
      <c r="C164" s="225" t="s">
        <v>137</v>
      </c>
      <c r="D164" s="225" t="str">
        <f>'[5]TS BYDem'!D103</f>
        <v xml:space="preserve"> </v>
      </c>
      <c r="E164" s="225" t="s">
        <v>137</v>
      </c>
      <c r="F164" s="225" t="s">
        <v>137</v>
      </c>
      <c r="G164" s="225" t="s">
        <v>137</v>
      </c>
      <c r="H164" s="225" t="s">
        <v>137</v>
      </c>
      <c r="I164" s="225">
        <v>0</v>
      </c>
      <c r="J164" s="225" t="str">
        <f>INDEX('[5]TS BYDem'!$J$10:$J$203,MATCH(D164,'[5]TS BYDem'!$D$10:$D$203,0))</f>
        <v/>
      </c>
      <c r="K164" s="225" t="e">
        <f t="shared" ca="1" si="58"/>
        <v>#VALUE!</v>
      </c>
      <c r="L164" s="225" t="e">
        <f t="shared" ca="1" si="55"/>
        <v>#VALUE!</v>
      </c>
      <c r="M164" s="225" t="e">
        <f t="shared" ca="1" si="55"/>
        <v>#VALUE!</v>
      </c>
      <c r="N164" s="225" t="e">
        <f t="shared" ca="1" si="55"/>
        <v>#VALUE!</v>
      </c>
      <c r="O164" s="225" t="e">
        <f t="shared" ref="O164:AD172" ca="1" si="59">O$154/N$154*N164</f>
        <v>#VALUE!</v>
      </c>
      <c r="P164" s="225" t="e">
        <f t="shared" ca="1" si="59"/>
        <v>#VALUE!</v>
      </c>
      <c r="Q164" s="225" t="e">
        <f t="shared" ca="1" si="59"/>
        <v>#VALUE!</v>
      </c>
      <c r="R164" s="225" t="e">
        <f t="shared" ca="1" si="59"/>
        <v>#VALUE!</v>
      </c>
      <c r="S164" s="225" t="e">
        <f t="shared" ca="1" si="59"/>
        <v>#VALUE!</v>
      </c>
      <c r="T164" s="225" t="e">
        <f t="shared" ca="1" si="59"/>
        <v>#VALUE!</v>
      </c>
      <c r="U164" s="225" t="e">
        <f t="shared" ca="1" si="59"/>
        <v>#VALUE!</v>
      </c>
      <c r="V164" s="225" t="e">
        <f t="shared" ca="1" si="59"/>
        <v>#VALUE!</v>
      </c>
      <c r="W164" s="225" t="e">
        <f t="shared" ca="1" si="59"/>
        <v>#VALUE!</v>
      </c>
      <c r="X164" s="225" t="e">
        <f t="shared" ca="1" si="59"/>
        <v>#VALUE!</v>
      </c>
      <c r="Y164" s="225" t="e">
        <f t="shared" ca="1" si="59"/>
        <v>#VALUE!</v>
      </c>
      <c r="Z164" s="225" t="e">
        <f t="shared" ca="1" si="59"/>
        <v>#VALUE!</v>
      </c>
      <c r="AA164" s="225" t="e">
        <f t="shared" ca="1" si="59"/>
        <v>#VALUE!</v>
      </c>
      <c r="AB164" s="225" t="e">
        <f t="shared" ca="1" si="59"/>
        <v>#VALUE!</v>
      </c>
      <c r="AC164" s="225" t="e">
        <f t="shared" ca="1" si="59"/>
        <v>#VALUE!</v>
      </c>
      <c r="AD164" s="225" t="e">
        <f t="shared" ca="1" si="59"/>
        <v>#VALUE!</v>
      </c>
      <c r="AE164" s="225" t="e">
        <f t="shared" ref="AE164:AP172" ca="1" si="60">AE$154/AD$154*AD164</f>
        <v>#VALUE!</v>
      </c>
      <c r="AF164" s="225" t="e">
        <f t="shared" ca="1" si="60"/>
        <v>#VALUE!</v>
      </c>
      <c r="AG164" s="225" t="e">
        <f t="shared" ca="1" si="60"/>
        <v>#VALUE!</v>
      </c>
      <c r="AH164" s="225" t="e">
        <f t="shared" ca="1" si="60"/>
        <v>#VALUE!</v>
      </c>
      <c r="AI164" s="225" t="e">
        <f t="shared" ca="1" si="60"/>
        <v>#VALUE!</v>
      </c>
      <c r="AJ164" s="225" t="e">
        <f t="shared" ca="1" si="60"/>
        <v>#VALUE!</v>
      </c>
      <c r="AK164" s="225" t="e">
        <f t="shared" ca="1" si="60"/>
        <v>#VALUE!</v>
      </c>
      <c r="AL164" s="225" t="e">
        <f t="shared" ca="1" si="60"/>
        <v>#VALUE!</v>
      </c>
      <c r="AM164" s="225" t="e">
        <f t="shared" ca="1" si="60"/>
        <v>#VALUE!</v>
      </c>
      <c r="AN164" s="225" t="e">
        <f t="shared" ca="1" si="60"/>
        <v>#VALUE!</v>
      </c>
      <c r="AO164" s="225" t="e">
        <f t="shared" ca="1" si="60"/>
        <v>#VALUE!</v>
      </c>
      <c r="AP164" s="225" t="e">
        <f t="shared" ca="1" si="60"/>
        <v>#VALUE!</v>
      </c>
    </row>
    <row r="165" spans="1:42">
      <c r="A165" s="61" t="str">
        <f>'[5]TS BYDem'!A104</f>
        <v/>
      </c>
      <c r="B165" s="225" t="s">
        <v>288</v>
      </c>
      <c r="C165" s="225" t="s">
        <v>137</v>
      </c>
      <c r="D165" s="225" t="str">
        <f>'[5]TS BYDem'!D104</f>
        <v>INFS</v>
      </c>
      <c r="E165" s="225" t="s">
        <v>137</v>
      </c>
      <c r="F165" s="225" t="s">
        <v>137</v>
      </c>
      <c r="G165" s="225" t="s">
        <v>137</v>
      </c>
      <c r="H165" s="225" t="s">
        <v>137</v>
      </c>
      <c r="I165" s="225">
        <v>0</v>
      </c>
      <c r="J165" s="225">
        <f>INDEX('[5]TS BYDem'!$J$10:$J$203,MATCH(D165,'[5]TS BYDem'!$D$10:$D$203,0))</f>
        <v>2.487856608</v>
      </c>
      <c r="K165" s="225">
        <f t="shared" ca="1" si="58"/>
        <v>2.0744442339703264</v>
      </c>
      <c r="L165" s="225">
        <f t="shared" ca="1" si="58"/>
        <v>1.7865320449139466</v>
      </c>
      <c r="M165" s="232">
        <f t="shared" ref="M165" si="61">O165</f>
        <v>0.65368000000000004</v>
      </c>
      <c r="N165" s="232">
        <f t="shared" ref="N165" si="62">O165</f>
        <v>0.65368000000000004</v>
      </c>
      <c r="O165" s="232">
        <f>INDEX('[5]TS BYDem'!$O$10:$O$203,MATCH(D165,'[5]TS BYDem'!$D$10:$D$203,0))</f>
        <v>0.65368000000000004</v>
      </c>
      <c r="P165" s="225">
        <f t="shared" ca="1" si="59"/>
        <v>0.64051865771812089</v>
      </c>
      <c r="Q165" s="225">
        <f t="shared" ca="1" si="59"/>
        <v>0.60542174496644308</v>
      </c>
      <c r="R165" s="225">
        <f t="shared" ca="1" si="59"/>
        <v>0.49684067114093977</v>
      </c>
      <c r="S165" s="225">
        <f t="shared" ca="1" si="59"/>
        <v>0.51438912751677868</v>
      </c>
      <c r="T165" s="225">
        <f t="shared" ca="1" si="59"/>
        <v>0.51658268456375844</v>
      </c>
      <c r="U165" s="225">
        <f t="shared" ca="1" si="59"/>
        <v>0.5198730201342282</v>
      </c>
      <c r="V165" s="225">
        <f t="shared" ca="1" si="59"/>
        <v>0.52316335570469785</v>
      </c>
      <c r="W165" s="225">
        <f t="shared" ca="1" si="59"/>
        <v>0.53084080536912748</v>
      </c>
      <c r="X165" s="225">
        <f t="shared" ca="1" si="59"/>
        <v>0.54948604026845638</v>
      </c>
      <c r="Y165" s="225">
        <f t="shared" ca="1" si="59"/>
        <v>0.57142161073825504</v>
      </c>
      <c r="Z165" s="225">
        <f t="shared" ca="1" si="59"/>
        <v>0.59774429530201345</v>
      </c>
      <c r="AA165" s="225">
        <f t="shared" ca="1" si="59"/>
        <v>0.61858308724832212</v>
      </c>
      <c r="AB165" s="225">
        <f t="shared" ca="1" si="59"/>
        <v>0.64490577181208053</v>
      </c>
      <c r="AC165" s="225">
        <f t="shared" ca="1" si="59"/>
        <v>0.66684134228187919</v>
      </c>
      <c r="AD165" s="225">
        <f t="shared" ca="1" si="59"/>
        <v>0.68109946308724822</v>
      </c>
      <c r="AE165" s="225">
        <f t="shared" ca="1" si="60"/>
        <v>0.69755114093959725</v>
      </c>
      <c r="AF165" s="225">
        <f t="shared" ca="1" si="60"/>
        <v>0.71509959731543604</v>
      </c>
      <c r="AG165" s="225">
        <f t="shared" ca="1" si="60"/>
        <v>0.73045449664429518</v>
      </c>
      <c r="AH165" s="225">
        <f t="shared" ca="1" si="60"/>
        <v>0.74909973154362408</v>
      </c>
      <c r="AI165" s="225">
        <f t="shared" ca="1" si="60"/>
        <v>0.76774496644295287</v>
      </c>
      <c r="AJ165" s="225">
        <f t="shared" ca="1" si="60"/>
        <v>0.78639020134228166</v>
      </c>
      <c r="AK165" s="225">
        <f t="shared" ca="1" si="60"/>
        <v>0.80503543624161045</v>
      </c>
      <c r="AL165" s="225">
        <f t="shared" ca="1" si="60"/>
        <v>0.82477744966442923</v>
      </c>
      <c r="AM165" s="225">
        <f t="shared" ca="1" si="60"/>
        <v>0.88619704697986545</v>
      </c>
      <c r="AN165" s="225">
        <f t="shared" ca="1" si="60"/>
        <v>0.96735865771812057</v>
      </c>
      <c r="AO165" s="225">
        <f t="shared" ca="1" si="60"/>
        <v>1.1066495302013393</v>
      </c>
      <c r="AP165" s="225">
        <f t="shared" ca="1" si="60"/>
        <v>1.2492307382550316</v>
      </c>
    </row>
    <row r="166" spans="1:42">
      <c r="A166" s="61" t="str">
        <f>'[5]TS BYDem'!A105</f>
        <v>*</v>
      </c>
      <c r="B166" s="225" t="s">
        <v>288</v>
      </c>
      <c r="C166" s="225" t="s">
        <v>137</v>
      </c>
      <c r="D166" s="225" t="str">
        <f>'[5]TS BYDem'!D105</f>
        <v>INFS</v>
      </c>
      <c r="E166" s="225" t="s">
        <v>137</v>
      </c>
      <c r="F166" s="225" t="s">
        <v>137</v>
      </c>
      <c r="G166" s="225" t="s">
        <v>137</v>
      </c>
      <c r="H166" s="225" t="s">
        <v>137</v>
      </c>
      <c r="I166" s="225">
        <v>0</v>
      </c>
      <c r="J166" s="225">
        <f>INDEX('[5]TS BYDem'!$J$10:$J$203,MATCH(D166,'[5]TS BYDem'!$D$10:$D$203,0))</f>
        <v>2.487856608</v>
      </c>
      <c r="K166" s="225">
        <f t="shared" ca="1" si="58"/>
        <v>2.0744442339703264</v>
      </c>
      <c r="L166" s="225">
        <f t="shared" ca="1" si="58"/>
        <v>1.7865320449139466</v>
      </c>
      <c r="M166" s="225">
        <f t="shared" ca="1" si="58"/>
        <v>1.6856397393471809</v>
      </c>
      <c r="N166" s="225">
        <f t="shared" ca="1" si="58"/>
        <v>1.5822866458397624</v>
      </c>
      <c r="O166" s="225">
        <f t="shared" ca="1" si="59"/>
        <v>1.4666296126290801</v>
      </c>
      <c r="P166" s="225">
        <f t="shared" ca="1" si="59"/>
        <v>1.4371001573412463</v>
      </c>
      <c r="Q166" s="225">
        <f t="shared" ca="1" si="59"/>
        <v>1.3583549432403561</v>
      </c>
      <c r="R166" s="225">
        <f t="shared" ca="1" si="59"/>
        <v>1.1147369371157272</v>
      </c>
      <c r="S166" s="225">
        <f t="shared" ca="1" si="59"/>
        <v>1.1541095441661722</v>
      </c>
      <c r="T166" s="225">
        <f t="shared" ca="1" si="59"/>
        <v>1.1590311200474777</v>
      </c>
      <c r="U166" s="225">
        <f t="shared" ca="1" si="59"/>
        <v>1.1664134838694362</v>
      </c>
      <c r="V166" s="225">
        <f t="shared" ca="1" si="59"/>
        <v>1.1737958476913946</v>
      </c>
      <c r="W166" s="225">
        <f t="shared" ca="1" si="59"/>
        <v>1.1910213632759645</v>
      </c>
      <c r="X166" s="225">
        <f t="shared" ca="1" si="59"/>
        <v>1.2328547582670626</v>
      </c>
      <c r="Y166" s="225">
        <f t="shared" ca="1" si="59"/>
        <v>1.282070517080119</v>
      </c>
      <c r="Z166" s="225">
        <f t="shared" ca="1" si="59"/>
        <v>1.3411294276557866</v>
      </c>
      <c r="AA166" s="225">
        <f t="shared" ca="1" si="59"/>
        <v>1.3878843985281899</v>
      </c>
      <c r="AB166" s="225">
        <f t="shared" ca="1" si="59"/>
        <v>1.4469433091038577</v>
      </c>
      <c r="AC166" s="225">
        <f t="shared" ca="1" si="59"/>
        <v>1.4961590679169141</v>
      </c>
      <c r="AD166" s="225">
        <f t="shared" ca="1" si="59"/>
        <v>1.5281493111454008</v>
      </c>
      <c r="AE166" s="225">
        <f t="shared" ca="1" si="60"/>
        <v>1.5650611302551931</v>
      </c>
      <c r="AF166" s="225">
        <f t="shared" ca="1" si="60"/>
        <v>1.6044337373056379</v>
      </c>
      <c r="AG166" s="225">
        <f t="shared" ca="1" si="60"/>
        <v>1.6388847684747776</v>
      </c>
      <c r="AH166" s="225">
        <f t="shared" ca="1" si="60"/>
        <v>1.6807181634658757</v>
      </c>
      <c r="AI166" s="225">
        <f t="shared" ca="1" si="60"/>
        <v>1.7225515584569735</v>
      </c>
      <c r="AJ166" s="225">
        <f t="shared" ca="1" si="60"/>
        <v>1.7643849534480713</v>
      </c>
      <c r="AK166" s="225">
        <f t="shared" ca="1" si="60"/>
        <v>1.8062183484391692</v>
      </c>
      <c r="AL166" s="225">
        <f t="shared" ca="1" si="60"/>
        <v>1.8505125313709199</v>
      </c>
      <c r="AM166" s="225">
        <f t="shared" ca="1" si="60"/>
        <v>1.9883166560474779</v>
      </c>
      <c r="AN166" s="225">
        <f t="shared" ca="1" si="60"/>
        <v>2.1704149636557868</v>
      </c>
      <c r="AO166" s="225">
        <f t="shared" ca="1" si="60"/>
        <v>2.4829350321186889</v>
      </c>
      <c r="AP166" s="225">
        <f t="shared" ca="1" si="60"/>
        <v>2.8028374644035581</v>
      </c>
    </row>
    <row r="167" spans="1:42">
      <c r="A167" s="61" t="str">
        <f>'[5]TS BYDem'!A106</f>
        <v>*</v>
      </c>
      <c r="B167" s="225" t="s">
        <v>288</v>
      </c>
      <c r="C167" s="225" t="s">
        <v>137</v>
      </c>
      <c r="D167" s="225" t="str">
        <f>'[5]TS BYDem'!D106</f>
        <v>INFS</v>
      </c>
      <c r="E167" s="225" t="s">
        <v>137</v>
      </c>
      <c r="F167" s="225" t="s">
        <v>137</v>
      </c>
      <c r="G167" s="225" t="s">
        <v>137</v>
      </c>
      <c r="H167" s="225" t="s">
        <v>137</v>
      </c>
      <c r="I167" s="225">
        <v>0</v>
      </c>
      <c r="J167" s="225">
        <f>INDEX('[5]TS BYDem'!$J$10:$J$203,MATCH(D167,'[5]TS BYDem'!$D$10:$D$203,0))</f>
        <v>2.487856608</v>
      </c>
      <c r="K167" s="225">
        <f t="shared" ca="1" si="58"/>
        <v>2.0744442339703264</v>
      </c>
      <c r="L167" s="225">
        <f t="shared" ca="1" si="58"/>
        <v>1.7865320449139466</v>
      </c>
      <c r="M167" s="225">
        <f t="shared" ca="1" si="58"/>
        <v>1.6856397393471809</v>
      </c>
      <c r="N167" s="225">
        <f t="shared" ca="1" si="58"/>
        <v>1.5822866458397624</v>
      </c>
      <c r="O167" s="225">
        <f t="shared" ca="1" si="59"/>
        <v>1.4666296126290801</v>
      </c>
      <c r="P167" s="225">
        <f t="shared" ca="1" si="59"/>
        <v>1.4371001573412463</v>
      </c>
      <c r="Q167" s="225">
        <f t="shared" ca="1" si="59"/>
        <v>1.3583549432403561</v>
      </c>
      <c r="R167" s="225">
        <f t="shared" ca="1" si="59"/>
        <v>1.1147369371157272</v>
      </c>
      <c r="S167" s="225">
        <f t="shared" ca="1" si="59"/>
        <v>1.1541095441661722</v>
      </c>
      <c r="T167" s="225">
        <f t="shared" ca="1" si="59"/>
        <v>1.1590311200474777</v>
      </c>
      <c r="U167" s="225">
        <f t="shared" ca="1" si="59"/>
        <v>1.1664134838694362</v>
      </c>
      <c r="V167" s="225">
        <f t="shared" ca="1" si="59"/>
        <v>1.1737958476913946</v>
      </c>
      <c r="W167" s="225">
        <f t="shared" ca="1" si="59"/>
        <v>1.1910213632759645</v>
      </c>
      <c r="X167" s="225">
        <f t="shared" ca="1" si="59"/>
        <v>1.2328547582670626</v>
      </c>
      <c r="Y167" s="225">
        <f t="shared" ca="1" si="59"/>
        <v>1.282070517080119</v>
      </c>
      <c r="Z167" s="225">
        <f t="shared" ca="1" si="59"/>
        <v>1.3411294276557866</v>
      </c>
      <c r="AA167" s="225">
        <f t="shared" ca="1" si="59"/>
        <v>1.3878843985281899</v>
      </c>
      <c r="AB167" s="225">
        <f t="shared" ca="1" si="59"/>
        <v>1.4469433091038577</v>
      </c>
      <c r="AC167" s="225">
        <f t="shared" ca="1" si="59"/>
        <v>1.4961590679169141</v>
      </c>
      <c r="AD167" s="225">
        <f t="shared" ca="1" si="59"/>
        <v>1.5281493111454008</v>
      </c>
      <c r="AE167" s="225">
        <f t="shared" ca="1" si="60"/>
        <v>1.5650611302551931</v>
      </c>
      <c r="AF167" s="225">
        <f t="shared" ca="1" si="60"/>
        <v>1.6044337373056379</v>
      </c>
      <c r="AG167" s="225">
        <f t="shared" ca="1" si="60"/>
        <v>1.6388847684747776</v>
      </c>
      <c r="AH167" s="225">
        <f t="shared" ca="1" si="60"/>
        <v>1.6807181634658757</v>
      </c>
      <c r="AI167" s="225">
        <f t="shared" ca="1" si="60"/>
        <v>1.7225515584569735</v>
      </c>
      <c r="AJ167" s="225">
        <f t="shared" ca="1" si="60"/>
        <v>1.7643849534480713</v>
      </c>
      <c r="AK167" s="225">
        <f t="shared" ca="1" si="60"/>
        <v>1.8062183484391692</v>
      </c>
      <c r="AL167" s="225">
        <f t="shared" ca="1" si="60"/>
        <v>1.8505125313709199</v>
      </c>
      <c r="AM167" s="225">
        <f t="shared" ca="1" si="60"/>
        <v>1.9883166560474779</v>
      </c>
      <c r="AN167" s="225">
        <f t="shared" ca="1" si="60"/>
        <v>2.1704149636557868</v>
      </c>
      <c r="AO167" s="225">
        <f t="shared" ca="1" si="60"/>
        <v>2.4829350321186889</v>
      </c>
      <c r="AP167" s="225">
        <f t="shared" ca="1" si="60"/>
        <v>2.8028374644035581</v>
      </c>
    </row>
    <row r="168" spans="1:42">
      <c r="A168" s="61" t="str">
        <f>'[5]TS BYDem'!A107</f>
        <v>*</v>
      </c>
      <c r="B168" s="225" t="s">
        <v>288</v>
      </c>
      <c r="C168" s="225" t="s">
        <v>137</v>
      </c>
      <c r="D168" s="225" t="str">
        <f>'[5]TS BYDem'!D107</f>
        <v>INFS</v>
      </c>
      <c r="E168" s="225" t="s">
        <v>137</v>
      </c>
      <c r="F168" s="225" t="s">
        <v>137</v>
      </c>
      <c r="G168" s="225" t="s">
        <v>137</v>
      </c>
      <c r="H168" s="225" t="s">
        <v>137</v>
      </c>
      <c r="I168" s="225">
        <v>0</v>
      </c>
      <c r="J168" s="225">
        <f>INDEX('[5]TS BYDem'!$J$10:$J$203,MATCH(D168,'[5]TS BYDem'!$D$10:$D$203,0))</f>
        <v>2.487856608</v>
      </c>
      <c r="K168" s="225">
        <f t="shared" ca="1" si="58"/>
        <v>2.0744442339703264</v>
      </c>
      <c r="L168" s="225">
        <f t="shared" ca="1" si="58"/>
        <v>1.7865320449139466</v>
      </c>
      <c r="M168" s="225">
        <f t="shared" ca="1" si="58"/>
        <v>1.6856397393471809</v>
      </c>
      <c r="N168" s="225">
        <f t="shared" ca="1" si="58"/>
        <v>1.5822866458397624</v>
      </c>
      <c r="O168" s="225">
        <f t="shared" ca="1" si="59"/>
        <v>1.4666296126290801</v>
      </c>
      <c r="P168" s="225">
        <f t="shared" ca="1" si="59"/>
        <v>1.4371001573412463</v>
      </c>
      <c r="Q168" s="225">
        <f t="shared" ca="1" si="59"/>
        <v>1.3583549432403561</v>
      </c>
      <c r="R168" s="225">
        <f t="shared" ca="1" si="59"/>
        <v>1.1147369371157272</v>
      </c>
      <c r="S168" s="225">
        <f t="shared" ca="1" si="59"/>
        <v>1.1541095441661722</v>
      </c>
      <c r="T168" s="225">
        <f t="shared" ca="1" si="59"/>
        <v>1.1590311200474777</v>
      </c>
      <c r="U168" s="225">
        <f t="shared" ca="1" si="59"/>
        <v>1.1664134838694362</v>
      </c>
      <c r="V168" s="225">
        <f t="shared" ca="1" si="59"/>
        <v>1.1737958476913946</v>
      </c>
      <c r="W168" s="225">
        <f t="shared" ca="1" si="59"/>
        <v>1.1910213632759645</v>
      </c>
      <c r="X168" s="225">
        <f t="shared" ca="1" si="59"/>
        <v>1.2328547582670626</v>
      </c>
      <c r="Y168" s="225">
        <f t="shared" ca="1" si="59"/>
        <v>1.282070517080119</v>
      </c>
      <c r="Z168" s="225">
        <f t="shared" ca="1" si="59"/>
        <v>1.3411294276557866</v>
      </c>
      <c r="AA168" s="225">
        <f t="shared" ca="1" si="59"/>
        <v>1.3878843985281899</v>
      </c>
      <c r="AB168" s="225">
        <f t="shared" ca="1" si="59"/>
        <v>1.4469433091038577</v>
      </c>
      <c r="AC168" s="225">
        <f t="shared" ca="1" si="59"/>
        <v>1.4961590679169141</v>
      </c>
      <c r="AD168" s="225">
        <f t="shared" ca="1" si="59"/>
        <v>1.5281493111454008</v>
      </c>
      <c r="AE168" s="225">
        <f t="shared" ca="1" si="60"/>
        <v>1.5650611302551931</v>
      </c>
      <c r="AF168" s="225">
        <f t="shared" ca="1" si="60"/>
        <v>1.6044337373056379</v>
      </c>
      <c r="AG168" s="225">
        <f t="shared" ca="1" si="60"/>
        <v>1.6388847684747776</v>
      </c>
      <c r="AH168" s="225">
        <f t="shared" ca="1" si="60"/>
        <v>1.6807181634658757</v>
      </c>
      <c r="AI168" s="225">
        <f t="shared" ca="1" si="60"/>
        <v>1.7225515584569735</v>
      </c>
      <c r="AJ168" s="225">
        <f t="shared" ca="1" si="60"/>
        <v>1.7643849534480713</v>
      </c>
      <c r="AK168" s="225">
        <f t="shared" ca="1" si="60"/>
        <v>1.8062183484391692</v>
      </c>
      <c r="AL168" s="225">
        <f t="shared" ca="1" si="60"/>
        <v>1.8505125313709199</v>
      </c>
      <c r="AM168" s="225">
        <f t="shared" ca="1" si="60"/>
        <v>1.9883166560474779</v>
      </c>
      <c r="AN168" s="225">
        <f t="shared" ca="1" si="60"/>
        <v>2.1704149636557868</v>
      </c>
      <c r="AO168" s="225">
        <f t="shared" ca="1" si="60"/>
        <v>2.4829350321186889</v>
      </c>
      <c r="AP168" s="225">
        <f t="shared" ca="1" si="60"/>
        <v>2.8028374644035581</v>
      </c>
    </row>
    <row r="169" spans="1:42">
      <c r="A169" s="61" t="str">
        <f>'[5]TS BYDem'!A108</f>
        <v>*</v>
      </c>
      <c r="B169" s="225" t="s">
        <v>288</v>
      </c>
      <c r="C169" s="225" t="s">
        <v>137</v>
      </c>
      <c r="D169" s="225" t="str">
        <f>'[5]TS BYDem'!D108</f>
        <v>INFS</v>
      </c>
      <c r="E169" s="225" t="s">
        <v>137</v>
      </c>
      <c r="F169" s="225" t="s">
        <v>137</v>
      </c>
      <c r="G169" s="225" t="s">
        <v>137</v>
      </c>
      <c r="H169" s="225" t="s">
        <v>137</v>
      </c>
      <c r="I169" s="225">
        <v>0</v>
      </c>
      <c r="J169" s="225">
        <f>INDEX('[5]TS BYDem'!$J$10:$J$203,MATCH(D169,'[5]TS BYDem'!$D$10:$D$203,0))</f>
        <v>2.487856608</v>
      </c>
      <c r="K169" s="225">
        <f t="shared" ca="1" si="58"/>
        <v>2.0744442339703264</v>
      </c>
      <c r="L169" s="225">
        <f t="shared" ca="1" si="58"/>
        <v>1.7865320449139466</v>
      </c>
      <c r="M169" s="225">
        <f t="shared" ca="1" si="58"/>
        <v>1.6856397393471809</v>
      </c>
      <c r="N169" s="225">
        <f t="shared" ca="1" si="58"/>
        <v>1.5822866458397624</v>
      </c>
      <c r="O169" s="225">
        <f t="shared" ca="1" si="59"/>
        <v>1.4666296126290801</v>
      </c>
      <c r="P169" s="225">
        <f t="shared" ca="1" si="59"/>
        <v>1.4371001573412463</v>
      </c>
      <c r="Q169" s="225">
        <f t="shared" ca="1" si="59"/>
        <v>1.3583549432403561</v>
      </c>
      <c r="R169" s="225">
        <f t="shared" ca="1" si="59"/>
        <v>1.1147369371157272</v>
      </c>
      <c r="S169" s="225">
        <f t="shared" ca="1" si="59"/>
        <v>1.1541095441661722</v>
      </c>
      <c r="T169" s="225">
        <f t="shared" ca="1" si="59"/>
        <v>1.1590311200474777</v>
      </c>
      <c r="U169" s="225">
        <f t="shared" ca="1" si="59"/>
        <v>1.1664134838694362</v>
      </c>
      <c r="V169" s="225">
        <f t="shared" ca="1" si="59"/>
        <v>1.1737958476913946</v>
      </c>
      <c r="W169" s="225">
        <f t="shared" ca="1" si="59"/>
        <v>1.1910213632759645</v>
      </c>
      <c r="X169" s="225">
        <f t="shared" ca="1" si="59"/>
        <v>1.2328547582670626</v>
      </c>
      <c r="Y169" s="225">
        <f t="shared" ca="1" si="59"/>
        <v>1.282070517080119</v>
      </c>
      <c r="Z169" s="225">
        <f t="shared" ca="1" si="59"/>
        <v>1.3411294276557866</v>
      </c>
      <c r="AA169" s="225">
        <f t="shared" ca="1" si="59"/>
        <v>1.3878843985281899</v>
      </c>
      <c r="AB169" s="225">
        <f t="shared" ca="1" si="59"/>
        <v>1.4469433091038577</v>
      </c>
      <c r="AC169" s="225">
        <f t="shared" ca="1" si="59"/>
        <v>1.4961590679169141</v>
      </c>
      <c r="AD169" s="225">
        <f t="shared" ca="1" si="59"/>
        <v>1.5281493111454008</v>
      </c>
      <c r="AE169" s="225">
        <f t="shared" ca="1" si="60"/>
        <v>1.5650611302551931</v>
      </c>
      <c r="AF169" s="225">
        <f t="shared" ca="1" si="60"/>
        <v>1.6044337373056379</v>
      </c>
      <c r="AG169" s="225">
        <f t="shared" ca="1" si="60"/>
        <v>1.6388847684747776</v>
      </c>
      <c r="AH169" s="225">
        <f t="shared" ca="1" si="60"/>
        <v>1.6807181634658757</v>
      </c>
      <c r="AI169" s="225">
        <f t="shared" ca="1" si="60"/>
        <v>1.7225515584569735</v>
      </c>
      <c r="AJ169" s="225">
        <f t="shared" ca="1" si="60"/>
        <v>1.7643849534480713</v>
      </c>
      <c r="AK169" s="225">
        <f t="shared" ca="1" si="60"/>
        <v>1.8062183484391692</v>
      </c>
      <c r="AL169" s="225">
        <f t="shared" ca="1" si="60"/>
        <v>1.8505125313709199</v>
      </c>
      <c r="AM169" s="225">
        <f t="shared" ca="1" si="60"/>
        <v>1.9883166560474779</v>
      </c>
      <c r="AN169" s="225">
        <f t="shared" ca="1" si="60"/>
        <v>2.1704149636557868</v>
      </c>
      <c r="AO169" s="225">
        <f t="shared" ca="1" si="60"/>
        <v>2.4829350321186889</v>
      </c>
      <c r="AP169" s="225">
        <f t="shared" ca="1" si="60"/>
        <v>2.8028374644035581</v>
      </c>
    </row>
    <row r="170" spans="1:42">
      <c r="A170" s="61" t="str">
        <f>'[5]TS BYDem'!A109</f>
        <v>*</v>
      </c>
      <c r="B170" s="225" t="s">
        <v>288</v>
      </c>
      <c r="C170" s="225" t="s">
        <v>137</v>
      </c>
      <c r="D170" s="225" t="str">
        <f>'[5]TS BYDem'!D109</f>
        <v>INFS</v>
      </c>
      <c r="E170" s="225" t="s">
        <v>137</v>
      </c>
      <c r="F170" s="225" t="s">
        <v>137</v>
      </c>
      <c r="G170" s="225" t="s">
        <v>137</v>
      </c>
      <c r="H170" s="225" t="s">
        <v>137</v>
      </c>
      <c r="I170" s="225">
        <v>0</v>
      </c>
      <c r="J170" s="225">
        <f>INDEX('[5]TS BYDem'!$J$10:$J$203,MATCH(D170,'[5]TS BYDem'!$D$10:$D$203,0))</f>
        <v>2.487856608</v>
      </c>
      <c r="K170" s="225">
        <f t="shared" ca="1" si="58"/>
        <v>2.0744442339703264</v>
      </c>
      <c r="L170" s="225">
        <f t="shared" ca="1" si="58"/>
        <v>1.7865320449139466</v>
      </c>
      <c r="M170" s="225">
        <f t="shared" ca="1" si="58"/>
        <v>1.6856397393471809</v>
      </c>
      <c r="N170" s="225">
        <f t="shared" ca="1" si="58"/>
        <v>1.5822866458397624</v>
      </c>
      <c r="O170" s="225">
        <f t="shared" ca="1" si="59"/>
        <v>1.4666296126290801</v>
      </c>
      <c r="P170" s="225">
        <f t="shared" ca="1" si="59"/>
        <v>1.4371001573412463</v>
      </c>
      <c r="Q170" s="225">
        <f t="shared" ca="1" si="59"/>
        <v>1.3583549432403561</v>
      </c>
      <c r="R170" s="225">
        <f t="shared" ca="1" si="59"/>
        <v>1.1147369371157272</v>
      </c>
      <c r="S170" s="225">
        <f t="shared" ca="1" si="59"/>
        <v>1.1541095441661722</v>
      </c>
      <c r="T170" s="225">
        <f t="shared" ca="1" si="59"/>
        <v>1.1590311200474777</v>
      </c>
      <c r="U170" s="225">
        <f t="shared" ca="1" si="59"/>
        <v>1.1664134838694362</v>
      </c>
      <c r="V170" s="225">
        <f t="shared" ca="1" si="59"/>
        <v>1.1737958476913946</v>
      </c>
      <c r="W170" s="225">
        <f t="shared" ca="1" si="59"/>
        <v>1.1910213632759645</v>
      </c>
      <c r="X170" s="225">
        <f t="shared" ca="1" si="59"/>
        <v>1.2328547582670626</v>
      </c>
      <c r="Y170" s="225">
        <f t="shared" ca="1" si="59"/>
        <v>1.282070517080119</v>
      </c>
      <c r="Z170" s="225">
        <f t="shared" ca="1" si="59"/>
        <v>1.3411294276557866</v>
      </c>
      <c r="AA170" s="225">
        <f t="shared" ca="1" si="59"/>
        <v>1.3878843985281899</v>
      </c>
      <c r="AB170" s="225">
        <f t="shared" ca="1" si="59"/>
        <v>1.4469433091038577</v>
      </c>
      <c r="AC170" s="225">
        <f t="shared" ca="1" si="59"/>
        <v>1.4961590679169141</v>
      </c>
      <c r="AD170" s="225">
        <f t="shared" ca="1" si="59"/>
        <v>1.5281493111454008</v>
      </c>
      <c r="AE170" s="225">
        <f t="shared" ca="1" si="60"/>
        <v>1.5650611302551931</v>
      </c>
      <c r="AF170" s="225">
        <f t="shared" ca="1" si="60"/>
        <v>1.6044337373056379</v>
      </c>
      <c r="AG170" s="225">
        <f t="shared" ca="1" si="60"/>
        <v>1.6388847684747776</v>
      </c>
      <c r="AH170" s="225">
        <f t="shared" ca="1" si="60"/>
        <v>1.6807181634658757</v>
      </c>
      <c r="AI170" s="225">
        <f t="shared" ca="1" si="60"/>
        <v>1.7225515584569735</v>
      </c>
      <c r="AJ170" s="225">
        <f t="shared" ca="1" si="60"/>
        <v>1.7643849534480713</v>
      </c>
      <c r="AK170" s="225">
        <f t="shared" ca="1" si="60"/>
        <v>1.8062183484391692</v>
      </c>
      <c r="AL170" s="225">
        <f t="shared" ca="1" si="60"/>
        <v>1.8505125313709199</v>
      </c>
      <c r="AM170" s="225">
        <f t="shared" ca="1" si="60"/>
        <v>1.9883166560474779</v>
      </c>
      <c r="AN170" s="225">
        <f t="shared" ca="1" si="60"/>
        <v>2.1704149636557868</v>
      </c>
      <c r="AO170" s="225">
        <f t="shared" ca="1" si="60"/>
        <v>2.4829350321186889</v>
      </c>
      <c r="AP170" s="225">
        <f t="shared" ca="1" si="60"/>
        <v>2.8028374644035581</v>
      </c>
    </row>
    <row r="171" spans="1:42">
      <c r="A171" s="61" t="str">
        <f>'[5]TS BYDem'!A110</f>
        <v>*</v>
      </c>
      <c r="B171" s="225" t="s">
        <v>288</v>
      </c>
      <c r="C171" s="225" t="s">
        <v>137</v>
      </c>
      <c r="D171" s="225" t="str">
        <f>'[5]TS BYDem'!D110</f>
        <v>Useful Energy Service</v>
      </c>
      <c r="E171" s="225" t="s">
        <v>137</v>
      </c>
      <c r="F171" s="225" t="s">
        <v>137</v>
      </c>
      <c r="G171" s="225" t="s">
        <v>137</v>
      </c>
      <c r="H171" s="225" t="s">
        <v>137</v>
      </c>
      <c r="I171" s="225">
        <v>0</v>
      </c>
      <c r="J171" s="225" t="str">
        <f>INDEX('[5]TS BYDem'!$J$10:$J$203,MATCH(D171,'[5]TS BYDem'!$D$10:$D$203,0))</f>
        <v/>
      </c>
      <c r="K171" s="225" t="e">
        <f t="shared" ca="1" si="58"/>
        <v>#VALUE!</v>
      </c>
      <c r="L171" s="225" t="e">
        <f t="shared" ca="1" si="58"/>
        <v>#VALUE!</v>
      </c>
      <c r="M171" s="225" t="e">
        <f t="shared" ca="1" si="58"/>
        <v>#VALUE!</v>
      </c>
      <c r="N171" s="225" t="e">
        <f t="shared" ca="1" si="58"/>
        <v>#VALUE!</v>
      </c>
      <c r="O171" s="225" t="e">
        <f t="shared" ca="1" si="59"/>
        <v>#VALUE!</v>
      </c>
      <c r="P171" s="225" t="e">
        <f t="shared" ca="1" si="59"/>
        <v>#VALUE!</v>
      </c>
      <c r="Q171" s="225" t="e">
        <f t="shared" ca="1" si="59"/>
        <v>#VALUE!</v>
      </c>
      <c r="R171" s="225" t="e">
        <f t="shared" ca="1" si="59"/>
        <v>#VALUE!</v>
      </c>
      <c r="S171" s="225" t="e">
        <f t="shared" ca="1" si="59"/>
        <v>#VALUE!</v>
      </c>
      <c r="T171" s="225" t="e">
        <f t="shared" ca="1" si="59"/>
        <v>#VALUE!</v>
      </c>
      <c r="U171" s="225" t="e">
        <f t="shared" ca="1" si="59"/>
        <v>#VALUE!</v>
      </c>
      <c r="V171" s="225" t="e">
        <f t="shared" ca="1" si="59"/>
        <v>#VALUE!</v>
      </c>
      <c r="W171" s="225" t="e">
        <f t="shared" ca="1" si="59"/>
        <v>#VALUE!</v>
      </c>
      <c r="X171" s="225" t="e">
        <f t="shared" ca="1" si="59"/>
        <v>#VALUE!</v>
      </c>
      <c r="Y171" s="225" t="e">
        <f t="shared" ca="1" si="59"/>
        <v>#VALUE!</v>
      </c>
      <c r="Z171" s="225" t="e">
        <f t="shared" ca="1" si="59"/>
        <v>#VALUE!</v>
      </c>
      <c r="AA171" s="225" t="e">
        <f t="shared" ca="1" si="59"/>
        <v>#VALUE!</v>
      </c>
      <c r="AB171" s="225" t="e">
        <f t="shared" ca="1" si="59"/>
        <v>#VALUE!</v>
      </c>
      <c r="AC171" s="225" t="e">
        <f t="shared" ca="1" si="59"/>
        <v>#VALUE!</v>
      </c>
      <c r="AD171" s="225" t="e">
        <f t="shared" ca="1" si="59"/>
        <v>#VALUE!</v>
      </c>
      <c r="AE171" s="225" t="e">
        <f t="shared" ca="1" si="60"/>
        <v>#VALUE!</v>
      </c>
      <c r="AF171" s="225" t="e">
        <f t="shared" ca="1" si="60"/>
        <v>#VALUE!</v>
      </c>
      <c r="AG171" s="225" t="e">
        <f t="shared" ca="1" si="60"/>
        <v>#VALUE!</v>
      </c>
      <c r="AH171" s="225" t="e">
        <f t="shared" ca="1" si="60"/>
        <v>#VALUE!</v>
      </c>
      <c r="AI171" s="225" t="e">
        <f t="shared" ca="1" si="60"/>
        <v>#VALUE!</v>
      </c>
      <c r="AJ171" s="225" t="e">
        <f t="shared" ca="1" si="60"/>
        <v>#VALUE!</v>
      </c>
      <c r="AK171" s="225" t="e">
        <f t="shared" ca="1" si="60"/>
        <v>#VALUE!</v>
      </c>
      <c r="AL171" s="225" t="e">
        <f t="shared" ca="1" si="60"/>
        <v>#VALUE!</v>
      </c>
      <c r="AM171" s="225" t="e">
        <f t="shared" ca="1" si="60"/>
        <v>#VALUE!</v>
      </c>
      <c r="AN171" s="225" t="e">
        <f t="shared" ca="1" si="60"/>
        <v>#VALUE!</v>
      </c>
      <c r="AO171" s="225" t="e">
        <f t="shared" ca="1" si="60"/>
        <v>#VALUE!</v>
      </c>
      <c r="AP171" s="225" t="e">
        <f t="shared" ca="1" si="60"/>
        <v>#VALUE!</v>
      </c>
    </row>
    <row r="172" spans="1:42">
      <c r="A172" s="61" t="str">
        <f>'[5]TS BYDem'!A111</f>
        <v>*</v>
      </c>
      <c r="B172" s="225" t="s">
        <v>288</v>
      </c>
      <c r="C172" s="225" t="s">
        <v>137</v>
      </c>
      <c r="D172" s="225">
        <f>'[5]TS BYDem'!D111</f>
        <v>0</v>
      </c>
      <c r="E172" s="225" t="s">
        <v>137</v>
      </c>
      <c r="F172" s="225" t="s">
        <v>137</v>
      </c>
      <c r="G172" s="225" t="s">
        <v>137</v>
      </c>
      <c r="H172" s="225" t="s">
        <v>137</v>
      </c>
      <c r="I172" s="225">
        <v>0</v>
      </c>
      <c r="J172" s="225" t="str">
        <f>INDEX('[5]TS BYDem'!$J$10:$J$203,MATCH(D172,'[5]TS BYDem'!$D$10:$D$203,0))</f>
        <v/>
      </c>
      <c r="K172" s="225" t="e">
        <f t="shared" ca="1" si="58"/>
        <v>#VALUE!</v>
      </c>
      <c r="L172" s="225" t="e">
        <f t="shared" ca="1" si="58"/>
        <v>#VALUE!</v>
      </c>
      <c r="M172" s="225" t="e">
        <f t="shared" ca="1" si="58"/>
        <v>#VALUE!</v>
      </c>
      <c r="N172" s="225" t="e">
        <f t="shared" ca="1" si="58"/>
        <v>#VALUE!</v>
      </c>
      <c r="O172" s="225" t="e">
        <f t="shared" ca="1" si="59"/>
        <v>#VALUE!</v>
      </c>
      <c r="P172" s="225" t="e">
        <f t="shared" ca="1" si="59"/>
        <v>#VALUE!</v>
      </c>
      <c r="Q172" s="225" t="e">
        <f t="shared" ca="1" si="59"/>
        <v>#VALUE!</v>
      </c>
      <c r="R172" s="225" t="e">
        <f t="shared" ca="1" si="59"/>
        <v>#VALUE!</v>
      </c>
      <c r="S172" s="225" t="e">
        <f t="shared" ca="1" si="59"/>
        <v>#VALUE!</v>
      </c>
      <c r="T172" s="225" t="e">
        <f t="shared" ca="1" si="59"/>
        <v>#VALUE!</v>
      </c>
      <c r="U172" s="225" t="e">
        <f t="shared" ca="1" si="59"/>
        <v>#VALUE!</v>
      </c>
      <c r="V172" s="225" t="e">
        <f t="shared" ca="1" si="59"/>
        <v>#VALUE!</v>
      </c>
      <c r="W172" s="225" t="e">
        <f t="shared" ca="1" si="59"/>
        <v>#VALUE!</v>
      </c>
      <c r="X172" s="225" t="e">
        <f t="shared" ca="1" si="59"/>
        <v>#VALUE!</v>
      </c>
      <c r="Y172" s="225" t="e">
        <f t="shared" ca="1" si="59"/>
        <v>#VALUE!</v>
      </c>
      <c r="Z172" s="225" t="e">
        <f t="shared" ca="1" si="59"/>
        <v>#VALUE!</v>
      </c>
      <c r="AA172" s="225" t="e">
        <f t="shared" ca="1" si="59"/>
        <v>#VALUE!</v>
      </c>
      <c r="AB172" s="225" t="e">
        <f t="shared" ca="1" si="59"/>
        <v>#VALUE!</v>
      </c>
      <c r="AC172" s="225" t="e">
        <f t="shared" ca="1" si="59"/>
        <v>#VALUE!</v>
      </c>
      <c r="AD172" s="225" t="e">
        <f t="shared" ca="1" si="59"/>
        <v>#VALUE!</v>
      </c>
      <c r="AE172" s="225" t="e">
        <f t="shared" ca="1" si="60"/>
        <v>#VALUE!</v>
      </c>
      <c r="AF172" s="225" t="e">
        <f t="shared" ca="1" si="60"/>
        <v>#VALUE!</v>
      </c>
      <c r="AG172" s="225" t="e">
        <f t="shared" ca="1" si="60"/>
        <v>#VALUE!</v>
      </c>
      <c r="AH172" s="225" t="e">
        <f t="shared" ca="1" si="60"/>
        <v>#VALUE!</v>
      </c>
      <c r="AI172" s="225" t="e">
        <f t="shared" ca="1" si="60"/>
        <v>#VALUE!</v>
      </c>
      <c r="AJ172" s="225" t="e">
        <f t="shared" ca="1" si="60"/>
        <v>#VALUE!</v>
      </c>
      <c r="AK172" s="225" t="e">
        <f t="shared" ca="1" si="60"/>
        <v>#VALUE!</v>
      </c>
      <c r="AL172" s="225" t="e">
        <f t="shared" ca="1" si="60"/>
        <v>#VALUE!</v>
      </c>
      <c r="AM172" s="225" t="e">
        <f t="shared" ca="1" si="60"/>
        <v>#VALUE!</v>
      </c>
      <c r="AN172" s="225" t="e">
        <f t="shared" ca="1" si="60"/>
        <v>#VALUE!</v>
      </c>
      <c r="AO172" s="225" t="e">
        <f t="shared" ca="1" si="60"/>
        <v>#VALUE!</v>
      </c>
      <c r="AP172" s="225" t="e">
        <f t="shared" ca="1" si="60"/>
        <v>#VALUE!</v>
      </c>
    </row>
    <row r="173" spans="1:42" s="5" customFormat="1">
      <c r="A173" s="61" t="str">
        <f>'[5]TS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61" t="str">
        <f>'[5]TS BYDem'!A113</f>
        <v>*</v>
      </c>
      <c r="B174" s="225" t="s">
        <v>288</v>
      </c>
      <c r="C174" s="225" t="s">
        <v>137</v>
      </c>
      <c r="D174" s="225" t="str">
        <f>'[5]TS BYDem'!D113</f>
        <v>INMK</v>
      </c>
      <c r="E174" s="225" t="s">
        <v>137</v>
      </c>
      <c r="F174" s="225" t="s">
        <v>137</v>
      </c>
      <c r="G174" s="225" t="s">
        <v>137</v>
      </c>
      <c r="H174" s="225" t="s">
        <v>137</v>
      </c>
      <c r="I174" s="225">
        <v>0</v>
      </c>
      <c r="J174" s="225" t="str">
        <f>INDEX('[5]TS BYDem'!$J$10:$J$203,MATCH(D174,'[5]TS BYDem'!$D$10:$D$203,0))</f>
        <v/>
      </c>
      <c r="K174" s="225" t="e">
        <f t="shared" ref="K174:Z189" ca="1" si="64">K$173/J$173*J174</f>
        <v>#VALUE!</v>
      </c>
      <c r="L174" s="225" t="e">
        <f t="shared" ca="1" si="64"/>
        <v>#VALUE!</v>
      </c>
      <c r="M174" s="225" t="e">
        <f t="shared" ca="1" si="64"/>
        <v>#VALUE!</v>
      </c>
      <c r="N174" s="225" t="e">
        <f t="shared" ca="1" si="64"/>
        <v>#VALUE!</v>
      </c>
      <c r="O174" s="225" t="e">
        <f t="shared" ca="1" si="64"/>
        <v>#VALUE!</v>
      </c>
      <c r="P174" s="225" t="e">
        <f t="shared" ca="1" si="64"/>
        <v>#VALUE!</v>
      </c>
      <c r="Q174" s="225" t="e">
        <f t="shared" ca="1" si="64"/>
        <v>#VALUE!</v>
      </c>
      <c r="R174" s="225" t="e">
        <f t="shared" ca="1" si="64"/>
        <v>#VALUE!</v>
      </c>
      <c r="S174" s="225" t="e">
        <f t="shared" ca="1" si="64"/>
        <v>#VALUE!</v>
      </c>
      <c r="T174" s="225" t="e">
        <f t="shared" ca="1" si="64"/>
        <v>#VALUE!</v>
      </c>
      <c r="U174" s="225" t="e">
        <f t="shared" ca="1" si="64"/>
        <v>#VALUE!</v>
      </c>
      <c r="V174" s="225" t="e">
        <f t="shared" ca="1" si="64"/>
        <v>#VALUE!</v>
      </c>
      <c r="W174" s="225" t="e">
        <f t="shared" ca="1" si="64"/>
        <v>#VALUE!</v>
      </c>
      <c r="X174" s="225" t="e">
        <f t="shared" ca="1" si="64"/>
        <v>#VALUE!</v>
      </c>
      <c r="Y174" s="225" t="e">
        <f t="shared" ca="1" si="64"/>
        <v>#VALUE!</v>
      </c>
      <c r="Z174" s="225" t="e">
        <f t="shared" ca="1" si="64"/>
        <v>#VALUE!</v>
      </c>
      <c r="AA174" s="225" t="e">
        <f t="shared" ref="AA174:AP189" ca="1" si="65">AA$173/Z$173*Z174</f>
        <v>#VALUE!</v>
      </c>
      <c r="AB174" s="225" t="e">
        <f t="shared" ca="1" si="65"/>
        <v>#VALUE!</v>
      </c>
      <c r="AC174" s="225" t="e">
        <f t="shared" ca="1" si="65"/>
        <v>#VALUE!</v>
      </c>
      <c r="AD174" s="225" t="e">
        <f t="shared" ca="1" si="65"/>
        <v>#VALUE!</v>
      </c>
      <c r="AE174" s="225" t="e">
        <f t="shared" ca="1" si="65"/>
        <v>#VALUE!</v>
      </c>
      <c r="AF174" s="225" t="e">
        <f t="shared" ca="1" si="65"/>
        <v>#VALUE!</v>
      </c>
      <c r="AG174" s="225" t="e">
        <f t="shared" ca="1" si="65"/>
        <v>#VALUE!</v>
      </c>
      <c r="AH174" s="225" t="e">
        <f t="shared" ca="1" si="65"/>
        <v>#VALUE!</v>
      </c>
      <c r="AI174" s="225" t="e">
        <f t="shared" ca="1" si="65"/>
        <v>#VALUE!</v>
      </c>
      <c r="AJ174" s="225" t="e">
        <f t="shared" ca="1" si="65"/>
        <v>#VALUE!</v>
      </c>
      <c r="AK174" s="225" t="e">
        <f t="shared" ca="1" si="65"/>
        <v>#VALUE!</v>
      </c>
      <c r="AL174" s="225" t="e">
        <f t="shared" ca="1" si="65"/>
        <v>#VALUE!</v>
      </c>
      <c r="AM174" s="225" t="e">
        <f t="shared" ca="1" si="65"/>
        <v>#VALUE!</v>
      </c>
      <c r="AN174" s="225" t="e">
        <f t="shared" ca="1" si="65"/>
        <v>#VALUE!</v>
      </c>
      <c r="AO174" s="225" t="e">
        <f t="shared" ca="1" si="65"/>
        <v>#VALUE!</v>
      </c>
      <c r="AP174" s="225" t="e">
        <f t="shared" ca="1" si="65"/>
        <v>#VALUE!</v>
      </c>
    </row>
    <row r="175" spans="1:42">
      <c r="A175" s="61" t="str">
        <f>'[5]TS BYDem'!A114</f>
        <v>*</v>
      </c>
      <c r="B175" s="225" t="s">
        <v>288</v>
      </c>
      <c r="C175" s="225" t="s">
        <v>137</v>
      </c>
      <c r="D175" s="225" t="str">
        <f>'[5]TS BYDem'!D114</f>
        <v>INMA</v>
      </c>
      <c r="E175" s="225" t="s">
        <v>137</v>
      </c>
      <c r="F175" s="225" t="s">
        <v>137</v>
      </c>
      <c r="G175" s="225" t="s">
        <v>137</v>
      </c>
      <c r="H175" s="225" t="s">
        <v>137</v>
      </c>
      <c r="I175" s="225">
        <v>0</v>
      </c>
      <c r="J175" s="225" t="str">
        <f>INDEX('[5]TS BYDem'!$J$10:$J$203,MATCH(D175,'[5]TS BYDem'!$D$10:$D$203,0))</f>
        <v/>
      </c>
      <c r="K175" s="225" t="e">
        <f t="shared" ca="1" si="64"/>
        <v>#VALUE!</v>
      </c>
      <c r="L175" s="225" t="e">
        <f t="shared" ca="1" si="64"/>
        <v>#VALUE!</v>
      </c>
      <c r="M175" s="225" t="e">
        <f t="shared" ca="1" si="64"/>
        <v>#VALUE!</v>
      </c>
      <c r="N175" s="225" t="e">
        <f t="shared" ca="1" si="64"/>
        <v>#VALUE!</v>
      </c>
      <c r="O175" s="225" t="e">
        <f t="shared" ca="1" si="64"/>
        <v>#VALUE!</v>
      </c>
      <c r="P175" s="225" t="e">
        <f t="shared" ca="1" si="64"/>
        <v>#VALUE!</v>
      </c>
      <c r="Q175" s="225" t="e">
        <f t="shared" ca="1" si="64"/>
        <v>#VALUE!</v>
      </c>
      <c r="R175" s="225" t="e">
        <f t="shared" ca="1" si="64"/>
        <v>#VALUE!</v>
      </c>
      <c r="S175" s="225" t="e">
        <f t="shared" ca="1" si="64"/>
        <v>#VALUE!</v>
      </c>
      <c r="T175" s="225" t="e">
        <f t="shared" ca="1" si="64"/>
        <v>#VALUE!</v>
      </c>
      <c r="U175" s="225" t="e">
        <f t="shared" ca="1" si="64"/>
        <v>#VALUE!</v>
      </c>
      <c r="V175" s="225" t="e">
        <f t="shared" ca="1" si="64"/>
        <v>#VALUE!</v>
      </c>
      <c r="W175" s="225" t="e">
        <f t="shared" ca="1" si="64"/>
        <v>#VALUE!</v>
      </c>
      <c r="X175" s="225" t="e">
        <f t="shared" ca="1" si="64"/>
        <v>#VALUE!</v>
      </c>
      <c r="Y175" s="225" t="e">
        <f t="shared" ca="1" si="64"/>
        <v>#VALUE!</v>
      </c>
      <c r="Z175" s="225" t="e">
        <f t="shared" ca="1" si="64"/>
        <v>#VALUE!</v>
      </c>
      <c r="AA175" s="225" t="e">
        <f t="shared" ca="1" si="65"/>
        <v>#VALUE!</v>
      </c>
      <c r="AB175" s="225" t="e">
        <f t="shared" ca="1" si="65"/>
        <v>#VALUE!</v>
      </c>
      <c r="AC175" s="225" t="e">
        <f t="shared" ca="1" si="65"/>
        <v>#VALUE!</v>
      </c>
      <c r="AD175" s="225" t="e">
        <f t="shared" ca="1" si="65"/>
        <v>#VALUE!</v>
      </c>
      <c r="AE175" s="225" t="e">
        <f t="shared" ca="1" si="65"/>
        <v>#VALUE!</v>
      </c>
      <c r="AF175" s="225" t="e">
        <f t="shared" ca="1" si="65"/>
        <v>#VALUE!</v>
      </c>
      <c r="AG175" s="225" t="e">
        <f t="shared" ca="1" si="65"/>
        <v>#VALUE!</v>
      </c>
      <c r="AH175" s="225" t="e">
        <f t="shared" ca="1" si="65"/>
        <v>#VALUE!</v>
      </c>
      <c r="AI175" s="225" t="e">
        <f t="shared" ca="1" si="65"/>
        <v>#VALUE!</v>
      </c>
      <c r="AJ175" s="225" t="e">
        <f t="shared" ca="1" si="65"/>
        <v>#VALUE!</v>
      </c>
      <c r="AK175" s="225" t="e">
        <f t="shared" ca="1" si="65"/>
        <v>#VALUE!</v>
      </c>
      <c r="AL175" s="225" t="e">
        <f t="shared" ca="1" si="65"/>
        <v>#VALUE!</v>
      </c>
      <c r="AM175" s="225" t="e">
        <f t="shared" ca="1" si="65"/>
        <v>#VALUE!</v>
      </c>
      <c r="AN175" s="225" t="e">
        <f t="shared" ca="1" si="65"/>
        <v>#VALUE!</v>
      </c>
      <c r="AO175" s="225" t="e">
        <f t="shared" ca="1" si="65"/>
        <v>#VALUE!</v>
      </c>
      <c r="AP175" s="225" t="e">
        <f t="shared" ca="1" si="65"/>
        <v>#VALUE!</v>
      </c>
    </row>
    <row r="176" spans="1:42">
      <c r="A176" s="61" t="str">
        <f>'[5]TS BYDem'!A115</f>
        <v>*</v>
      </c>
      <c r="B176" s="225" t="s">
        <v>288</v>
      </c>
      <c r="C176" s="225" t="s">
        <v>137</v>
      </c>
      <c r="D176" s="225" t="str">
        <f>'[5]TS BYDem'!D115</f>
        <v>INML</v>
      </c>
      <c r="E176" s="225" t="s">
        <v>137</v>
      </c>
      <c r="F176" s="225" t="s">
        <v>137</v>
      </c>
      <c r="G176" s="225" t="s">
        <v>137</v>
      </c>
      <c r="H176" s="225" t="s">
        <v>137</v>
      </c>
      <c r="I176" s="225">
        <v>0</v>
      </c>
      <c r="J176" s="225" t="str">
        <f>INDEX('[5]TS BYDem'!$J$10:$J$203,MATCH(D176,'[5]TS BYDem'!$D$10:$D$203,0))</f>
        <v/>
      </c>
      <c r="K176" s="225" t="e">
        <f t="shared" ca="1" si="64"/>
        <v>#VALUE!</v>
      </c>
      <c r="L176" s="225" t="e">
        <f t="shared" ca="1" si="64"/>
        <v>#VALUE!</v>
      </c>
      <c r="M176" s="225" t="e">
        <f t="shared" ca="1" si="64"/>
        <v>#VALUE!</v>
      </c>
      <c r="N176" s="225" t="e">
        <f t="shared" ca="1" si="64"/>
        <v>#VALUE!</v>
      </c>
      <c r="O176" s="225" t="e">
        <f t="shared" ca="1" si="64"/>
        <v>#VALUE!</v>
      </c>
      <c r="P176" s="225" t="e">
        <f t="shared" ca="1" si="64"/>
        <v>#VALUE!</v>
      </c>
      <c r="Q176" s="225" t="e">
        <f t="shared" ca="1" si="64"/>
        <v>#VALUE!</v>
      </c>
      <c r="R176" s="225" t="e">
        <f t="shared" ca="1" si="64"/>
        <v>#VALUE!</v>
      </c>
      <c r="S176" s="225" t="e">
        <f t="shared" ca="1" si="64"/>
        <v>#VALUE!</v>
      </c>
      <c r="T176" s="225" t="e">
        <f t="shared" ca="1" si="64"/>
        <v>#VALUE!</v>
      </c>
      <c r="U176" s="225" t="e">
        <f t="shared" ca="1" si="64"/>
        <v>#VALUE!</v>
      </c>
      <c r="V176" s="225" t="e">
        <f t="shared" ca="1" si="64"/>
        <v>#VALUE!</v>
      </c>
      <c r="W176" s="225" t="e">
        <f t="shared" ca="1" si="64"/>
        <v>#VALUE!</v>
      </c>
      <c r="X176" s="225" t="e">
        <f t="shared" ca="1" si="64"/>
        <v>#VALUE!</v>
      </c>
      <c r="Y176" s="225" t="e">
        <f t="shared" ca="1" si="64"/>
        <v>#VALUE!</v>
      </c>
      <c r="Z176" s="225" t="e">
        <f t="shared" ca="1" si="64"/>
        <v>#VALUE!</v>
      </c>
      <c r="AA176" s="225" t="e">
        <f t="shared" ca="1" si="65"/>
        <v>#VALUE!</v>
      </c>
      <c r="AB176" s="225" t="e">
        <f t="shared" ca="1" si="65"/>
        <v>#VALUE!</v>
      </c>
      <c r="AC176" s="225" t="e">
        <f t="shared" ca="1" si="65"/>
        <v>#VALUE!</v>
      </c>
      <c r="AD176" s="225" t="e">
        <f t="shared" ca="1" si="65"/>
        <v>#VALUE!</v>
      </c>
      <c r="AE176" s="225" t="e">
        <f t="shared" ca="1" si="65"/>
        <v>#VALUE!</v>
      </c>
      <c r="AF176" s="225" t="e">
        <f t="shared" ca="1" si="65"/>
        <v>#VALUE!</v>
      </c>
      <c r="AG176" s="225" t="e">
        <f t="shared" ca="1" si="65"/>
        <v>#VALUE!</v>
      </c>
      <c r="AH176" s="225" t="e">
        <f t="shared" ca="1" si="65"/>
        <v>#VALUE!</v>
      </c>
      <c r="AI176" s="225" t="e">
        <f t="shared" ca="1" si="65"/>
        <v>#VALUE!</v>
      </c>
      <c r="AJ176" s="225" t="e">
        <f t="shared" ca="1" si="65"/>
        <v>#VALUE!</v>
      </c>
      <c r="AK176" s="225" t="e">
        <f t="shared" ca="1" si="65"/>
        <v>#VALUE!</v>
      </c>
      <c r="AL176" s="225" t="e">
        <f t="shared" ca="1" si="65"/>
        <v>#VALUE!</v>
      </c>
      <c r="AM176" s="225" t="e">
        <f t="shared" ca="1" si="65"/>
        <v>#VALUE!</v>
      </c>
      <c r="AN176" s="225" t="e">
        <f t="shared" ca="1" si="65"/>
        <v>#VALUE!</v>
      </c>
      <c r="AO176" s="225" t="e">
        <f t="shared" ca="1" si="65"/>
        <v>#VALUE!</v>
      </c>
      <c r="AP176" s="225" t="e">
        <f t="shared" ca="1" si="65"/>
        <v>#VALUE!</v>
      </c>
    </row>
    <row r="177" spans="1:42">
      <c r="A177" s="61" t="str">
        <f>'[5]TS BYDem'!A116</f>
        <v>*</v>
      </c>
      <c r="B177" s="225" t="s">
        <v>288</v>
      </c>
      <c r="C177" s="225" t="s">
        <v>137</v>
      </c>
      <c r="D177" s="225" t="str">
        <f>'[5]TS BYDem'!D116</f>
        <v>INMC</v>
      </c>
      <c r="E177" s="225" t="s">
        <v>137</v>
      </c>
      <c r="F177" s="225" t="s">
        <v>137</v>
      </c>
      <c r="G177" s="225" t="s">
        <v>137</v>
      </c>
      <c r="H177" s="225" t="s">
        <v>137</v>
      </c>
      <c r="I177" s="225">
        <v>0</v>
      </c>
      <c r="J177" s="225" t="str">
        <f>INDEX('[5]TS BYDem'!$J$10:$J$203,MATCH(D177,'[5]TS BYDem'!$D$10:$D$203,0))</f>
        <v/>
      </c>
      <c r="K177" s="225" t="e">
        <f t="shared" ca="1" si="64"/>
        <v>#VALUE!</v>
      </c>
      <c r="L177" s="225" t="e">
        <f t="shared" ca="1" si="64"/>
        <v>#VALUE!</v>
      </c>
      <c r="M177" s="225" t="e">
        <f t="shared" ca="1" si="64"/>
        <v>#VALUE!</v>
      </c>
      <c r="N177" s="225" t="e">
        <f t="shared" ca="1" si="64"/>
        <v>#VALUE!</v>
      </c>
      <c r="O177" s="225" t="e">
        <f t="shared" ca="1" si="64"/>
        <v>#VALUE!</v>
      </c>
      <c r="P177" s="225" t="e">
        <f t="shared" ca="1" si="64"/>
        <v>#VALUE!</v>
      </c>
      <c r="Q177" s="225" t="e">
        <f t="shared" ca="1" si="64"/>
        <v>#VALUE!</v>
      </c>
      <c r="R177" s="225" t="e">
        <f t="shared" ca="1" si="64"/>
        <v>#VALUE!</v>
      </c>
      <c r="S177" s="225" t="e">
        <f t="shared" ca="1" si="64"/>
        <v>#VALUE!</v>
      </c>
      <c r="T177" s="225" t="e">
        <f t="shared" ca="1" si="64"/>
        <v>#VALUE!</v>
      </c>
      <c r="U177" s="225" t="e">
        <f t="shared" ca="1" si="64"/>
        <v>#VALUE!</v>
      </c>
      <c r="V177" s="225" t="e">
        <f t="shared" ca="1" si="64"/>
        <v>#VALUE!</v>
      </c>
      <c r="W177" s="225" t="e">
        <f t="shared" ca="1" si="64"/>
        <v>#VALUE!</v>
      </c>
      <c r="X177" s="225" t="e">
        <f t="shared" ca="1" si="64"/>
        <v>#VALUE!</v>
      </c>
      <c r="Y177" s="225" t="e">
        <f t="shared" ca="1" si="64"/>
        <v>#VALUE!</v>
      </c>
      <c r="Z177" s="225" t="e">
        <f t="shared" ca="1" si="64"/>
        <v>#VALUE!</v>
      </c>
      <c r="AA177" s="225" t="e">
        <f t="shared" ca="1" si="65"/>
        <v>#VALUE!</v>
      </c>
      <c r="AB177" s="225" t="e">
        <f t="shared" ca="1" si="65"/>
        <v>#VALUE!</v>
      </c>
      <c r="AC177" s="225" t="e">
        <f t="shared" ca="1" si="65"/>
        <v>#VALUE!</v>
      </c>
      <c r="AD177" s="225" t="e">
        <f t="shared" ca="1" si="65"/>
        <v>#VALUE!</v>
      </c>
      <c r="AE177" s="225" t="e">
        <f t="shared" ca="1" si="65"/>
        <v>#VALUE!</v>
      </c>
      <c r="AF177" s="225" t="e">
        <f t="shared" ca="1" si="65"/>
        <v>#VALUE!</v>
      </c>
      <c r="AG177" s="225" t="e">
        <f t="shared" ca="1" si="65"/>
        <v>#VALUE!</v>
      </c>
      <c r="AH177" s="225" t="e">
        <f t="shared" ca="1" si="65"/>
        <v>#VALUE!</v>
      </c>
      <c r="AI177" s="225" t="e">
        <f t="shared" ca="1" si="65"/>
        <v>#VALUE!</v>
      </c>
      <c r="AJ177" s="225" t="e">
        <f t="shared" ca="1" si="65"/>
        <v>#VALUE!</v>
      </c>
      <c r="AK177" s="225" t="e">
        <f t="shared" ca="1" si="65"/>
        <v>#VALUE!</v>
      </c>
      <c r="AL177" s="225" t="e">
        <f t="shared" ca="1" si="65"/>
        <v>#VALUE!</v>
      </c>
      <c r="AM177" s="225" t="e">
        <f t="shared" ca="1" si="65"/>
        <v>#VALUE!</v>
      </c>
      <c r="AN177" s="225" t="e">
        <f t="shared" ca="1" si="65"/>
        <v>#VALUE!</v>
      </c>
      <c r="AO177" s="225" t="e">
        <f t="shared" ca="1" si="65"/>
        <v>#VALUE!</v>
      </c>
      <c r="AP177" s="225" t="e">
        <f t="shared" ca="1" si="65"/>
        <v>#VALUE!</v>
      </c>
    </row>
    <row r="178" spans="1:42">
      <c r="A178" s="61" t="str">
        <f>'[5]TS BYDem'!A117</f>
        <v>*</v>
      </c>
      <c r="B178" s="225" t="s">
        <v>288</v>
      </c>
      <c r="C178" s="225" t="s">
        <v>137</v>
      </c>
      <c r="D178" s="225" t="str">
        <f>'[5]TS BYDem'!D117</f>
        <v>INMH</v>
      </c>
      <c r="E178" s="225" t="s">
        <v>137</v>
      </c>
      <c r="F178" s="225" t="s">
        <v>137</v>
      </c>
      <c r="G178" s="225" t="s">
        <v>137</v>
      </c>
      <c r="H178" s="225" t="s">
        <v>137</v>
      </c>
      <c r="I178" s="225">
        <v>0</v>
      </c>
      <c r="J178" s="225" t="str">
        <f>INDEX('[5]TS BYDem'!$J$10:$J$203,MATCH(D178,'[5]TS BYDem'!$D$10:$D$203,0))</f>
        <v/>
      </c>
      <c r="K178" s="225" t="e">
        <f t="shared" ca="1" si="64"/>
        <v>#VALUE!</v>
      </c>
      <c r="L178" s="225" t="e">
        <f t="shared" ca="1" si="64"/>
        <v>#VALUE!</v>
      </c>
      <c r="M178" s="225" t="e">
        <f t="shared" ca="1" si="64"/>
        <v>#VALUE!</v>
      </c>
      <c r="N178" s="225" t="e">
        <f t="shared" ca="1" si="64"/>
        <v>#VALUE!</v>
      </c>
      <c r="O178" s="225" t="e">
        <f t="shared" ca="1" si="64"/>
        <v>#VALUE!</v>
      </c>
      <c r="P178" s="225" t="e">
        <f t="shared" ca="1" si="64"/>
        <v>#VALUE!</v>
      </c>
      <c r="Q178" s="225" t="e">
        <f t="shared" ca="1" si="64"/>
        <v>#VALUE!</v>
      </c>
      <c r="R178" s="225" t="e">
        <f t="shared" ca="1" si="64"/>
        <v>#VALUE!</v>
      </c>
      <c r="S178" s="225" t="e">
        <f t="shared" ca="1" si="64"/>
        <v>#VALUE!</v>
      </c>
      <c r="T178" s="225" t="e">
        <f t="shared" ca="1" si="64"/>
        <v>#VALUE!</v>
      </c>
      <c r="U178" s="225" t="e">
        <f t="shared" ca="1" si="64"/>
        <v>#VALUE!</v>
      </c>
      <c r="V178" s="225" t="e">
        <f t="shared" ca="1" si="64"/>
        <v>#VALUE!</v>
      </c>
      <c r="W178" s="225" t="e">
        <f t="shared" ca="1" si="64"/>
        <v>#VALUE!</v>
      </c>
      <c r="X178" s="225" t="e">
        <f t="shared" ca="1" si="64"/>
        <v>#VALUE!</v>
      </c>
      <c r="Y178" s="225" t="e">
        <f t="shared" ca="1" si="64"/>
        <v>#VALUE!</v>
      </c>
      <c r="Z178" s="225" t="e">
        <f t="shared" ca="1" si="64"/>
        <v>#VALUE!</v>
      </c>
      <c r="AA178" s="225" t="e">
        <f t="shared" ca="1" si="65"/>
        <v>#VALUE!</v>
      </c>
      <c r="AB178" s="225" t="e">
        <f t="shared" ca="1" si="65"/>
        <v>#VALUE!</v>
      </c>
      <c r="AC178" s="225" t="e">
        <f t="shared" ca="1" si="65"/>
        <v>#VALUE!</v>
      </c>
      <c r="AD178" s="225" t="e">
        <f t="shared" ca="1" si="65"/>
        <v>#VALUE!</v>
      </c>
      <c r="AE178" s="225" t="e">
        <f t="shared" ca="1" si="65"/>
        <v>#VALUE!</v>
      </c>
      <c r="AF178" s="225" t="e">
        <f t="shared" ca="1" si="65"/>
        <v>#VALUE!</v>
      </c>
      <c r="AG178" s="225" t="e">
        <f t="shared" ca="1" si="65"/>
        <v>#VALUE!</v>
      </c>
      <c r="AH178" s="225" t="e">
        <f t="shared" ca="1" si="65"/>
        <v>#VALUE!</v>
      </c>
      <c r="AI178" s="225" t="e">
        <f t="shared" ca="1" si="65"/>
        <v>#VALUE!</v>
      </c>
      <c r="AJ178" s="225" t="e">
        <f t="shared" ca="1" si="65"/>
        <v>#VALUE!</v>
      </c>
      <c r="AK178" s="225" t="e">
        <f t="shared" ca="1" si="65"/>
        <v>#VALUE!</v>
      </c>
      <c r="AL178" s="225" t="e">
        <f t="shared" ca="1" si="65"/>
        <v>#VALUE!</v>
      </c>
      <c r="AM178" s="225" t="e">
        <f t="shared" ca="1" si="65"/>
        <v>#VALUE!</v>
      </c>
      <c r="AN178" s="225" t="e">
        <f t="shared" ca="1" si="65"/>
        <v>#VALUE!</v>
      </c>
      <c r="AO178" s="225" t="e">
        <f t="shared" ca="1" si="65"/>
        <v>#VALUE!</v>
      </c>
      <c r="AP178" s="225" t="e">
        <f t="shared" ca="1" si="65"/>
        <v>#VALUE!</v>
      </c>
    </row>
    <row r="179" spans="1:42">
      <c r="A179" s="61" t="str">
        <f>'[5]TS BYDem'!A118</f>
        <v>*</v>
      </c>
      <c r="B179" s="225" t="s">
        <v>288</v>
      </c>
      <c r="C179" s="225" t="s">
        <v>137</v>
      </c>
      <c r="D179" s="225" t="str">
        <f>'[5]TS BYDem'!D118</f>
        <v>INMP</v>
      </c>
      <c r="E179" s="225" t="s">
        <v>137</v>
      </c>
      <c r="F179" s="225" t="s">
        <v>137</v>
      </c>
      <c r="G179" s="225" t="s">
        <v>137</v>
      </c>
      <c r="H179" s="225" t="s">
        <v>137</v>
      </c>
      <c r="I179" s="225">
        <v>0</v>
      </c>
      <c r="J179" s="225" t="str">
        <f>INDEX('[5]TS BYDem'!$J$10:$J$203,MATCH(D179,'[5]TS BYDem'!$D$10:$D$203,0))</f>
        <v/>
      </c>
      <c r="K179" s="225" t="e">
        <f t="shared" ca="1" si="64"/>
        <v>#VALUE!</v>
      </c>
      <c r="L179" s="225" t="e">
        <f t="shared" ca="1" si="64"/>
        <v>#VALUE!</v>
      </c>
      <c r="M179" s="225" t="e">
        <f t="shared" ca="1" si="64"/>
        <v>#VALUE!</v>
      </c>
      <c r="N179" s="225" t="e">
        <f t="shared" ca="1" si="64"/>
        <v>#VALUE!</v>
      </c>
      <c r="O179" s="225" t="e">
        <f t="shared" ca="1" si="64"/>
        <v>#VALUE!</v>
      </c>
      <c r="P179" s="225" t="e">
        <f t="shared" ca="1" si="64"/>
        <v>#VALUE!</v>
      </c>
      <c r="Q179" s="225" t="e">
        <f t="shared" ca="1" si="64"/>
        <v>#VALUE!</v>
      </c>
      <c r="R179" s="225" t="e">
        <f t="shared" ca="1" si="64"/>
        <v>#VALUE!</v>
      </c>
      <c r="S179" s="225" t="e">
        <f t="shared" ca="1" si="64"/>
        <v>#VALUE!</v>
      </c>
      <c r="T179" s="225" t="e">
        <f t="shared" ca="1" si="64"/>
        <v>#VALUE!</v>
      </c>
      <c r="U179" s="225" t="e">
        <f t="shared" ca="1" si="64"/>
        <v>#VALUE!</v>
      </c>
      <c r="V179" s="225" t="e">
        <f t="shared" ca="1" si="64"/>
        <v>#VALUE!</v>
      </c>
      <c r="W179" s="225" t="e">
        <f t="shared" ca="1" si="64"/>
        <v>#VALUE!</v>
      </c>
      <c r="X179" s="225" t="e">
        <f t="shared" ca="1" si="64"/>
        <v>#VALUE!</v>
      </c>
      <c r="Y179" s="225" t="e">
        <f t="shared" ca="1" si="64"/>
        <v>#VALUE!</v>
      </c>
      <c r="Z179" s="225" t="e">
        <f t="shared" ca="1" si="64"/>
        <v>#VALUE!</v>
      </c>
      <c r="AA179" s="225" t="e">
        <f t="shared" ca="1" si="65"/>
        <v>#VALUE!</v>
      </c>
      <c r="AB179" s="225" t="e">
        <f t="shared" ca="1" si="65"/>
        <v>#VALUE!</v>
      </c>
      <c r="AC179" s="225" t="e">
        <f t="shared" ca="1" si="65"/>
        <v>#VALUE!</v>
      </c>
      <c r="AD179" s="225" t="e">
        <f t="shared" ca="1" si="65"/>
        <v>#VALUE!</v>
      </c>
      <c r="AE179" s="225" t="e">
        <f t="shared" ca="1" si="65"/>
        <v>#VALUE!</v>
      </c>
      <c r="AF179" s="225" t="e">
        <f t="shared" ca="1" si="65"/>
        <v>#VALUE!</v>
      </c>
      <c r="AG179" s="225" t="e">
        <f t="shared" ca="1" si="65"/>
        <v>#VALUE!</v>
      </c>
      <c r="AH179" s="225" t="e">
        <f t="shared" ca="1" si="65"/>
        <v>#VALUE!</v>
      </c>
      <c r="AI179" s="225" t="e">
        <f t="shared" ca="1" si="65"/>
        <v>#VALUE!</v>
      </c>
      <c r="AJ179" s="225" t="e">
        <f t="shared" ca="1" si="65"/>
        <v>#VALUE!</v>
      </c>
      <c r="AK179" s="225" t="e">
        <f t="shared" ca="1" si="65"/>
        <v>#VALUE!</v>
      </c>
      <c r="AL179" s="225" t="e">
        <f t="shared" ca="1" si="65"/>
        <v>#VALUE!</v>
      </c>
      <c r="AM179" s="225" t="e">
        <f t="shared" ca="1" si="65"/>
        <v>#VALUE!</v>
      </c>
      <c r="AN179" s="225" t="e">
        <f t="shared" ca="1" si="65"/>
        <v>#VALUE!</v>
      </c>
      <c r="AO179" s="225" t="e">
        <f t="shared" ca="1" si="65"/>
        <v>#VALUE!</v>
      </c>
      <c r="AP179" s="225" t="e">
        <f t="shared" ca="1" si="65"/>
        <v>#VALUE!</v>
      </c>
    </row>
    <row r="180" spans="1:42">
      <c r="A180" s="61" t="str">
        <f>'[5]TS BYDem'!A119</f>
        <v>*</v>
      </c>
      <c r="B180" s="225" t="s">
        <v>288</v>
      </c>
      <c r="C180" s="225" t="s">
        <v>137</v>
      </c>
      <c r="D180" s="225" t="str">
        <f>'[5]TS BYDem'!D119</f>
        <v>INMF</v>
      </c>
      <c r="E180" s="225" t="s">
        <v>137</v>
      </c>
      <c r="F180" s="225" t="s">
        <v>137</v>
      </c>
      <c r="G180" s="225" t="s">
        <v>137</v>
      </c>
      <c r="H180" s="225" t="s">
        <v>137</v>
      </c>
      <c r="I180" s="225">
        <v>0</v>
      </c>
      <c r="J180" s="225" t="str">
        <f>INDEX('[5]TS BYDem'!$J$10:$J$203,MATCH(D180,'[5]TS BYDem'!$D$10:$D$203,0))</f>
        <v/>
      </c>
      <c r="K180" s="225" t="e">
        <f t="shared" ca="1" si="64"/>
        <v>#VALUE!</v>
      </c>
      <c r="L180" s="225" t="e">
        <f t="shared" ca="1" si="64"/>
        <v>#VALUE!</v>
      </c>
      <c r="M180" s="225" t="e">
        <f t="shared" ca="1" si="64"/>
        <v>#VALUE!</v>
      </c>
      <c r="N180" s="225" t="e">
        <f t="shared" ca="1" si="64"/>
        <v>#VALUE!</v>
      </c>
      <c r="O180" s="225" t="e">
        <f t="shared" ca="1" si="64"/>
        <v>#VALUE!</v>
      </c>
      <c r="P180" s="225" t="e">
        <f t="shared" ca="1" si="64"/>
        <v>#VALUE!</v>
      </c>
      <c r="Q180" s="225" t="e">
        <f t="shared" ca="1" si="64"/>
        <v>#VALUE!</v>
      </c>
      <c r="R180" s="225" t="e">
        <f t="shared" ca="1" si="64"/>
        <v>#VALUE!</v>
      </c>
      <c r="S180" s="225" t="e">
        <f t="shared" ca="1" si="64"/>
        <v>#VALUE!</v>
      </c>
      <c r="T180" s="225" t="e">
        <f t="shared" ca="1" si="64"/>
        <v>#VALUE!</v>
      </c>
      <c r="U180" s="225" t="e">
        <f t="shared" ca="1" si="64"/>
        <v>#VALUE!</v>
      </c>
      <c r="V180" s="225" t="e">
        <f t="shared" ca="1" si="64"/>
        <v>#VALUE!</v>
      </c>
      <c r="W180" s="225" t="e">
        <f t="shared" ca="1" si="64"/>
        <v>#VALUE!</v>
      </c>
      <c r="X180" s="225" t="e">
        <f t="shared" ca="1" si="64"/>
        <v>#VALUE!</v>
      </c>
      <c r="Y180" s="225" t="e">
        <f t="shared" ca="1" si="64"/>
        <v>#VALUE!</v>
      </c>
      <c r="Z180" s="225" t="e">
        <f t="shared" ca="1" si="64"/>
        <v>#VALUE!</v>
      </c>
      <c r="AA180" s="225" t="e">
        <f t="shared" ca="1" si="65"/>
        <v>#VALUE!</v>
      </c>
      <c r="AB180" s="225" t="e">
        <f t="shared" ca="1" si="65"/>
        <v>#VALUE!</v>
      </c>
      <c r="AC180" s="225" t="e">
        <f t="shared" ca="1" si="65"/>
        <v>#VALUE!</v>
      </c>
      <c r="AD180" s="225" t="e">
        <f t="shared" ca="1" si="65"/>
        <v>#VALUE!</v>
      </c>
      <c r="AE180" s="225" t="e">
        <f t="shared" ca="1" si="65"/>
        <v>#VALUE!</v>
      </c>
      <c r="AF180" s="225" t="e">
        <f t="shared" ca="1" si="65"/>
        <v>#VALUE!</v>
      </c>
      <c r="AG180" s="225" t="e">
        <f t="shared" ca="1" si="65"/>
        <v>#VALUE!</v>
      </c>
      <c r="AH180" s="225" t="e">
        <f t="shared" ca="1" si="65"/>
        <v>#VALUE!</v>
      </c>
      <c r="AI180" s="225" t="e">
        <f t="shared" ca="1" si="65"/>
        <v>#VALUE!</v>
      </c>
      <c r="AJ180" s="225" t="e">
        <f t="shared" ca="1" si="65"/>
        <v>#VALUE!</v>
      </c>
      <c r="AK180" s="225" t="e">
        <f t="shared" ca="1" si="65"/>
        <v>#VALUE!</v>
      </c>
      <c r="AL180" s="225" t="e">
        <f t="shared" ca="1" si="65"/>
        <v>#VALUE!</v>
      </c>
      <c r="AM180" s="225" t="e">
        <f t="shared" ca="1" si="65"/>
        <v>#VALUE!</v>
      </c>
      <c r="AN180" s="225" t="e">
        <f t="shared" ca="1" si="65"/>
        <v>#VALUE!</v>
      </c>
      <c r="AO180" s="225" t="e">
        <f t="shared" ca="1" si="65"/>
        <v>#VALUE!</v>
      </c>
      <c r="AP180" s="225" t="e">
        <f t="shared" ca="1" si="65"/>
        <v>#VALUE!</v>
      </c>
    </row>
    <row r="181" spans="1:42">
      <c r="A181" s="61" t="str">
        <f>'[5]TS BYDem'!A120</f>
        <v>*</v>
      </c>
      <c r="B181" s="225" t="s">
        <v>288</v>
      </c>
      <c r="C181" s="225" t="s">
        <v>137</v>
      </c>
      <c r="D181" s="225" t="str">
        <f>'[5]TS BYDem'!D120</f>
        <v>INMO</v>
      </c>
      <c r="E181" s="225" t="s">
        <v>137</v>
      </c>
      <c r="F181" s="225" t="s">
        <v>137</v>
      </c>
      <c r="G181" s="225" t="s">
        <v>137</v>
      </c>
      <c r="H181" s="225" t="s">
        <v>137</v>
      </c>
      <c r="I181" s="225">
        <v>0</v>
      </c>
      <c r="J181" s="225" t="str">
        <f>INDEX('[5]TS BYDem'!$J$10:$J$203,MATCH(D181,'[5]TS BYDem'!$D$10:$D$203,0))</f>
        <v/>
      </c>
      <c r="K181" s="225" t="e">
        <f t="shared" ca="1" si="64"/>
        <v>#VALUE!</v>
      </c>
      <c r="L181" s="225" t="e">
        <f t="shared" ca="1" si="64"/>
        <v>#VALUE!</v>
      </c>
      <c r="M181" s="225" t="e">
        <f t="shared" ca="1" si="64"/>
        <v>#VALUE!</v>
      </c>
      <c r="N181" s="225" t="e">
        <f t="shared" ca="1" si="64"/>
        <v>#VALUE!</v>
      </c>
      <c r="O181" s="225" t="e">
        <f t="shared" ca="1" si="64"/>
        <v>#VALUE!</v>
      </c>
      <c r="P181" s="225" t="e">
        <f t="shared" ca="1" si="64"/>
        <v>#VALUE!</v>
      </c>
      <c r="Q181" s="225" t="e">
        <f t="shared" ca="1" si="64"/>
        <v>#VALUE!</v>
      </c>
      <c r="R181" s="225" t="e">
        <f t="shared" ca="1" si="64"/>
        <v>#VALUE!</v>
      </c>
      <c r="S181" s="225" t="e">
        <f t="shared" ca="1" si="64"/>
        <v>#VALUE!</v>
      </c>
      <c r="T181" s="225" t="e">
        <f t="shared" ca="1" si="64"/>
        <v>#VALUE!</v>
      </c>
      <c r="U181" s="225" t="e">
        <f t="shared" ca="1" si="64"/>
        <v>#VALUE!</v>
      </c>
      <c r="V181" s="225" t="e">
        <f t="shared" ca="1" si="64"/>
        <v>#VALUE!</v>
      </c>
      <c r="W181" s="225" t="e">
        <f t="shared" ca="1" si="64"/>
        <v>#VALUE!</v>
      </c>
      <c r="X181" s="225" t="e">
        <f t="shared" ca="1" si="64"/>
        <v>#VALUE!</v>
      </c>
      <c r="Y181" s="225" t="e">
        <f t="shared" ca="1" si="64"/>
        <v>#VALUE!</v>
      </c>
      <c r="Z181" s="225" t="e">
        <f t="shared" ca="1" si="64"/>
        <v>#VALUE!</v>
      </c>
      <c r="AA181" s="225" t="e">
        <f t="shared" ca="1" si="65"/>
        <v>#VALUE!</v>
      </c>
      <c r="AB181" s="225" t="e">
        <f t="shared" ca="1" si="65"/>
        <v>#VALUE!</v>
      </c>
      <c r="AC181" s="225" t="e">
        <f t="shared" ca="1" si="65"/>
        <v>#VALUE!</v>
      </c>
      <c r="AD181" s="225" t="e">
        <f t="shared" ca="1" si="65"/>
        <v>#VALUE!</v>
      </c>
      <c r="AE181" s="225" t="e">
        <f t="shared" ca="1" si="65"/>
        <v>#VALUE!</v>
      </c>
      <c r="AF181" s="225" t="e">
        <f t="shared" ca="1" si="65"/>
        <v>#VALUE!</v>
      </c>
      <c r="AG181" s="225" t="e">
        <f t="shared" ca="1" si="65"/>
        <v>#VALUE!</v>
      </c>
      <c r="AH181" s="225" t="e">
        <f t="shared" ca="1" si="65"/>
        <v>#VALUE!</v>
      </c>
      <c r="AI181" s="225" t="e">
        <f t="shared" ca="1" si="65"/>
        <v>#VALUE!</v>
      </c>
      <c r="AJ181" s="225" t="e">
        <f t="shared" ca="1" si="65"/>
        <v>#VALUE!</v>
      </c>
      <c r="AK181" s="225" t="e">
        <f t="shared" ca="1" si="65"/>
        <v>#VALUE!</v>
      </c>
      <c r="AL181" s="225" t="e">
        <f t="shared" ca="1" si="65"/>
        <v>#VALUE!</v>
      </c>
      <c r="AM181" s="225" t="e">
        <f t="shared" ca="1" si="65"/>
        <v>#VALUE!</v>
      </c>
      <c r="AN181" s="225" t="e">
        <f t="shared" ca="1" si="65"/>
        <v>#VALUE!</v>
      </c>
      <c r="AO181" s="225" t="e">
        <f t="shared" ca="1" si="65"/>
        <v>#VALUE!</v>
      </c>
      <c r="AP181" s="225" t="e">
        <f t="shared" ca="1" si="65"/>
        <v>#VALUE!</v>
      </c>
    </row>
    <row r="182" spans="1:42">
      <c r="A182" s="61" t="str">
        <f>'[5]TS BYDem'!A121</f>
        <v>*</v>
      </c>
      <c r="B182" s="225" t="s">
        <v>288</v>
      </c>
      <c r="C182" s="225" t="s">
        <v>137</v>
      </c>
      <c r="D182" s="225" t="str">
        <f>'[5]TS BYDem'!D121</f>
        <v>INME</v>
      </c>
      <c r="E182" s="225" t="s">
        <v>137</v>
      </c>
      <c r="F182" s="225" t="s">
        <v>137</v>
      </c>
      <c r="G182" s="225" t="s">
        <v>137</v>
      </c>
      <c r="H182" s="225" t="s">
        <v>137</v>
      </c>
      <c r="I182" s="225">
        <v>0</v>
      </c>
      <c r="J182" s="225" t="str">
        <f>INDEX('[5]TS BYDem'!$J$10:$J$203,MATCH(D182,'[5]TS BYDem'!$D$10:$D$203,0))</f>
        <v/>
      </c>
      <c r="K182" s="225" t="e">
        <f t="shared" ca="1" si="64"/>
        <v>#VALUE!</v>
      </c>
      <c r="L182" s="225" t="e">
        <f t="shared" ca="1" si="64"/>
        <v>#VALUE!</v>
      </c>
      <c r="M182" s="225" t="e">
        <f t="shared" ca="1" si="64"/>
        <v>#VALUE!</v>
      </c>
      <c r="N182" s="225" t="e">
        <f t="shared" ca="1" si="64"/>
        <v>#VALUE!</v>
      </c>
      <c r="O182" s="225" t="e">
        <f t="shared" ca="1" si="64"/>
        <v>#VALUE!</v>
      </c>
      <c r="P182" s="225" t="e">
        <f t="shared" ca="1" si="64"/>
        <v>#VALUE!</v>
      </c>
      <c r="Q182" s="225" t="e">
        <f t="shared" ca="1" si="64"/>
        <v>#VALUE!</v>
      </c>
      <c r="R182" s="225" t="e">
        <f t="shared" ca="1" si="64"/>
        <v>#VALUE!</v>
      </c>
      <c r="S182" s="225" t="e">
        <f t="shared" ca="1" si="64"/>
        <v>#VALUE!</v>
      </c>
      <c r="T182" s="225" t="e">
        <f t="shared" ca="1" si="64"/>
        <v>#VALUE!</v>
      </c>
      <c r="U182" s="225" t="e">
        <f t="shared" ca="1" si="64"/>
        <v>#VALUE!</v>
      </c>
      <c r="V182" s="225" t="e">
        <f t="shared" ca="1" si="64"/>
        <v>#VALUE!</v>
      </c>
      <c r="W182" s="225" t="e">
        <f t="shared" ca="1" si="64"/>
        <v>#VALUE!</v>
      </c>
      <c r="X182" s="225" t="e">
        <f t="shared" ca="1" si="64"/>
        <v>#VALUE!</v>
      </c>
      <c r="Y182" s="225" t="e">
        <f t="shared" ca="1" si="64"/>
        <v>#VALUE!</v>
      </c>
      <c r="Z182" s="225" t="e">
        <f t="shared" ca="1" si="64"/>
        <v>#VALUE!</v>
      </c>
      <c r="AA182" s="225" t="e">
        <f t="shared" ca="1" si="65"/>
        <v>#VALUE!</v>
      </c>
      <c r="AB182" s="225" t="e">
        <f t="shared" ca="1" si="65"/>
        <v>#VALUE!</v>
      </c>
      <c r="AC182" s="225" t="e">
        <f t="shared" ca="1" si="65"/>
        <v>#VALUE!</v>
      </c>
      <c r="AD182" s="225" t="e">
        <f t="shared" ca="1" si="65"/>
        <v>#VALUE!</v>
      </c>
      <c r="AE182" s="225" t="e">
        <f t="shared" ca="1" si="65"/>
        <v>#VALUE!</v>
      </c>
      <c r="AF182" s="225" t="e">
        <f t="shared" ca="1" si="65"/>
        <v>#VALUE!</v>
      </c>
      <c r="AG182" s="225" t="e">
        <f t="shared" ca="1" si="65"/>
        <v>#VALUE!</v>
      </c>
      <c r="AH182" s="225" t="e">
        <f t="shared" ca="1" si="65"/>
        <v>#VALUE!</v>
      </c>
      <c r="AI182" s="225" t="e">
        <f t="shared" ca="1" si="65"/>
        <v>#VALUE!</v>
      </c>
      <c r="AJ182" s="225" t="e">
        <f t="shared" ca="1" si="65"/>
        <v>#VALUE!</v>
      </c>
      <c r="AK182" s="225" t="e">
        <f t="shared" ca="1" si="65"/>
        <v>#VALUE!</v>
      </c>
      <c r="AL182" s="225" t="e">
        <f t="shared" ca="1" si="65"/>
        <v>#VALUE!</v>
      </c>
      <c r="AM182" s="225" t="e">
        <f t="shared" ca="1" si="65"/>
        <v>#VALUE!</v>
      </c>
      <c r="AN182" s="225" t="e">
        <f t="shared" ca="1" si="65"/>
        <v>#VALUE!</v>
      </c>
      <c r="AO182" s="225" t="e">
        <f t="shared" ca="1" si="65"/>
        <v>#VALUE!</v>
      </c>
      <c r="AP182" s="225" t="e">
        <f t="shared" ca="1" si="65"/>
        <v>#VALUE!</v>
      </c>
    </row>
    <row r="183" spans="1:42">
      <c r="A183" s="61" t="str">
        <f>'[5]TS BYDem'!A122</f>
        <v>*</v>
      </c>
      <c r="B183" s="225" t="s">
        <v>288</v>
      </c>
      <c r="C183" s="225" t="s">
        <v>137</v>
      </c>
      <c r="D183" s="225" t="str">
        <f>'[5]TS BYDem'!D122</f>
        <v xml:space="preserve"> </v>
      </c>
      <c r="E183" s="225" t="s">
        <v>137</v>
      </c>
      <c r="F183" s="225" t="s">
        <v>137</v>
      </c>
      <c r="G183" s="225" t="s">
        <v>137</v>
      </c>
      <c r="H183" s="225" t="s">
        <v>137</v>
      </c>
      <c r="I183" s="225">
        <v>0</v>
      </c>
      <c r="J183" s="225" t="str">
        <f>INDEX('[5]TS BYDem'!$J$10:$J$203,MATCH(D183,'[5]TS BYDem'!$D$10:$D$203,0))</f>
        <v/>
      </c>
      <c r="K183" s="225" t="e">
        <f t="shared" ca="1" si="64"/>
        <v>#VALUE!</v>
      </c>
      <c r="L183" s="225" t="e">
        <f t="shared" ca="1" si="64"/>
        <v>#VALUE!</v>
      </c>
      <c r="M183" s="225" t="e">
        <f t="shared" ca="1" si="64"/>
        <v>#VALUE!</v>
      </c>
      <c r="N183" s="225" t="e">
        <f t="shared" ca="1" si="64"/>
        <v>#VALUE!</v>
      </c>
      <c r="O183" s="225" t="e">
        <f t="shared" ca="1" si="64"/>
        <v>#VALUE!</v>
      </c>
      <c r="P183" s="225" t="e">
        <f t="shared" ca="1" si="64"/>
        <v>#VALUE!</v>
      </c>
      <c r="Q183" s="225" t="e">
        <f t="shared" ca="1" si="64"/>
        <v>#VALUE!</v>
      </c>
      <c r="R183" s="225" t="e">
        <f t="shared" ca="1" si="64"/>
        <v>#VALUE!</v>
      </c>
      <c r="S183" s="225" t="e">
        <f t="shared" ca="1" si="64"/>
        <v>#VALUE!</v>
      </c>
      <c r="T183" s="225" t="e">
        <f t="shared" ca="1" si="64"/>
        <v>#VALUE!</v>
      </c>
      <c r="U183" s="225" t="e">
        <f t="shared" ca="1" si="64"/>
        <v>#VALUE!</v>
      </c>
      <c r="V183" s="225" t="e">
        <f t="shared" ca="1" si="64"/>
        <v>#VALUE!</v>
      </c>
      <c r="W183" s="225" t="e">
        <f t="shared" ca="1" si="64"/>
        <v>#VALUE!</v>
      </c>
      <c r="X183" s="225" t="e">
        <f t="shared" ca="1" si="64"/>
        <v>#VALUE!</v>
      </c>
      <c r="Y183" s="225" t="e">
        <f t="shared" ca="1" si="64"/>
        <v>#VALUE!</v>
      </c>
      <c r="Z183" s="225" t="e">
        <f t="shared" ca="1" si="64"/>
        <v>#VALUE!</v>
      </c>
      <c r="AA183" s="225" t="e">
        <f t="shared" ca="1" si="65"/>
        <v>#VALUE!</v>
      </c>
      <c r="AB183" s="225" t="e">
        <f t="shared" ca="1" si="65"/>
        <v>#VALUE!</v>
      </c>
      <c r="AC183" s="225" t="e">
        <f t="shared" ca="1" si="65"/>
        <v>#VALUE!</v>
      </c>
      <c r="AD183" s="225" t="e">
        <f t="shared" ca="1" si="65"/>
        <v>#VALUE!</v>
      </c>
      <c r="AE183" s="225" t="e">
        <f t="shared" ca="1" si="65"/>
        <v>#VALUE!</v>
      </c>
      <c r="AF183" s="225" t="e">
        <f t="shared" ca="1" si="65"/>
        <v>#VALUE!</v>
      </c>
      <c r="AG183" s="225" t="e">
        <f t="shared" ca="1" si="65"/>
        <v>#VALUE!</v>
      </c>
      <c r="AH183" s="225" t="e">
        <f t="shared" ca="1" si="65"/>
        <v>#VALUE!</v>
      </c>
      <c r="AI183" s="225" t="e">
        <f t="shared" ca="1" si="65"/>
        <v>#VALUE!</v>
      </c>
      <c r="AJ183" s="225" t="e">
        <f t="shared" ca="1" si="65"/>
        <v>#VALUE!</v>
      </c>
      <c r="AK183" s="225" t="e">
        <f t="shared" ca="1" si="65"/>
        <v>#VALUE!</v>
      </c>
      <c r="AL183" s="225" t="e">
        <f t="shared" ca="1" si="65"/>
        <v>#VALUE!</v>
      </c>
      <c r="AM183" s="225" t="e">
        <f t="shared" ca="1" si="65"/>
        <v>#VALUE!</v>
      </c>
      <c r="AN183" s="225" t="e">
        <f t="shared" ca="1" si="65"/>
        <v>#VALUE!</v>
      </c>
      <c r="AO183" s="225" t="e">
        <f t="shared" ca="1" si="65"/>
        <v>#VALUE!</v>
      </c>
      <c r="AP183" s="225" t="e">
        <f t="shared" ca="1" si="65"/>
        <v>#VALUE!</v>
      </c>
    </row>
    <row r="184" spans="1:42">
      <c r="A184" s="61" t="str">
        <f>'[5]TS BYDem'!A123</f>
        <v>*</v>
      </c>
      <c r="B184" s="225" t="s">
        <v>288</v>
      </c>
      <c r="C184" s="225" t="s">
        <v>137</v>
      </c>
      <c r="D184" s="225" t="str">
        <f>'[5]TS BYDem'!D123</f>
        <v>INMS</v>
      </c>
      <c r="E184" s="225" t="s">
        <v>137</v>
      </c>
      <c r="F184" s="225" t="s">
        <v>137</v>
      </c>
      <c r="G184" s="225" t="s">
        <v>137</v>
      </c>
      <c r="H184" s="225" t="s">
        <v>137</v>
      </c>
      <c r="I184" s="225">
        <v>0</v>
      </c>
      <c r="J184" s="225" t="str">
        <f>INDEX('[5]TS BYDem'!$J$10:$J$203,MATCH(D184,'[5]TS BYDem'!$D$10:$D$203,0))</f>
        <v/>
      </c>
      <c r="K184" s="225" t="e">
        <f t="shared" ca="1" si="64"/>
        <v>#VALUE!</v>
      </c>
      <c r="L184" s="225" t="e">
        <f t="shared" ca="1" si="64"/>
        <v>#VALUE!</v>
      </c>
      <c r="M184" s="225" t="e">
        <f t="shared" ca="1" si="64"/>
        <v>#VALUE!</v>
      </c>
      <c r="N184" s="225" t="e">
        <f t="shared" ca="1" si="64"/>
        <v>#VALUE!</v>
      </c>
      <c r="O184" s="225" t="e">
        <f t="shared" ca="1" si="64"/>
        <v>#VALUE!</v>
      </c>
      <c r="P184" s="225" t="e">
        <f t="shared" ca="1" si="64"/>
        <v>#VALUE!</v>
      </c>
      <c r="Q184" s="225" t="e">
        <f t="shared" ca="1" si="64"/>
        <v>#VALUE!</v>
      </c>
      <c r="R184" s="225" t="e">
        <f t="shared" ca="1" si="64"/>
        <v>#VALUE!</v>
      </c>
      <c r="S184" s="225" t="e">
        <f t="shared" ca="1" si="64"/>
        <v>#VALUE!</v>
      </c>
      <c r="T184" s="225" t="e">
        <f t="shared" ca="1" si="64"/>
        <v>#VALUE!</v>
      </c>
      <c r="U184" s="225" t="e">
        <f t="shared" ca="1" si="64"/>
        <v>#VALUE!</v>
      </c>
      <c r="V184" s="225" t="e">
        <f t="shared" ca="1" si="64"/>
        <v>#VALUE!</v>
      </c>
      <c r="W184" s="225" t="e">
        <f t="shared" ca="1" si="64"/>
        <v>#VALUE!</v>
      </c>
      <c r="X184" s="225" t="e">
        <f t="shared" ca="1" si="64"/>
        <v>#VALUE!</v>
      </c>
      <c r="Y184" s="225" t="e">
        <f t="shared" ca="1" si="64"/>
        <v>#VALUE!</v>
      </c>
      <c r="Z184" s="225" t="e">
        <f t="shared" ca="1" si="64"/>
        <v>#VALUE!</v>
      </c>
      <c r="AA184" s="225" t="e">
        <f t="shared" ca="1" si="65"/>
        <v>#VALUE!</v>
      </c>
      <c r="AB184" s="225" t="e">
        <f t="shared" ca="1" si="65"/>
        <v>#VALUE!</v>
      </c>
      <c r="AC184" s="225" t="e">
        <f t="shared" ca="1" si="65"/>
        <v>#VALUE!</v>
      </c>
      <c r="AD184" s="225" t="e">
        <f t="shared" ca="1" si="65"/>
        <v>#VALUE!</v>
      </c>
      <c r="AE184" s="225" t="e">
        <f t="shared" ca="1" si="65"/>
        <v>#VALUE!</v>
      </c>
      <c r="AF184" s="225" t="e">
        <f t="shared" ca="1" si="65"/>
        <v>#VALUE!</v>
      </c>
      <c r="AG184" s="225" t="e">
        <f t="shared" ca="1" si="65"/>
        <v>#VALUE!</v>
      </c>
      <c r="AH184" s="225" t="e">
        <f t="shared" ca="1" si="65"/>
        <v>#VALUE!</v>
      </c>
      <c r="AI184" s="225" t="e">
        <f t="shared" ca="1" si="65"/>
        <v>#VALUE!</v>
      </c>
      <c r="AJ184" s="225" t="e">
        <f t="shared" ca="1" si="65"/>
        <v>#VALUE!</v>
      </c>
      <c r="AK184" s="225" t="e">
        <f t="shared" ca="1" si="65"/>
        <v>#VALUE!</v>
      </c>
      <c r="AL184" s="225" t="e">
        <f t="shared" ca="1" si="65"/>
        <v>#VALUE!</v>
      </c>
      <c r="AM184" s="225" t="e">
        <f t="shared" ca="1" si="65"/>
        <v>#VALUE!</v>
      </c>
      <c r="AN184" s="225" t="e">
        <f t="shared" ca="1" si="65"/>
        <v>#VALUE!</v>
      </c>
      <c r="AO184" s="225" t="e">
        <f t="shared" ca="1" si="65"/>
        <v>#VALUE!</v>
      </c>
      <c r="AP184" s="225" t="e">
        <f t="shared" ca="1" si="65"/>
        <v>#VALUE!</v>
      </c>
    </row>
    <row r="185" spans="1:42">
      <c r="A185" s="61" t="str">
        <f>'[5]TS BYDem'!A124</f>
        <v>*</v>
      </c>
      <c r="B185" s="225" t="s">
        <v>288</v>
      </c>
      <c r="C185" s="225" t="s">
        <v>137</v>
      </c>
      <c r="D185" s="225" t="str">
        <f>'[5]TS BYDem'!D124</f>
        <v>INMS</v>
      </c>
      <c r="E185" s="225" t="s">
        <v>137</v>
      </c>
      <c r="F185" s="225" t="s">
        <v>137</v>
      </c>
      <c r="G185" s="225" t="s">
        <v>137</v>
      </c>
      <c r="H185" s="225" t="s">
        <v>137</v>
      </c>
      <c r="I185" s="225">
        <v>0</v>
      </c>
      <c r="J185" s="225" t="str">
        <f>INDEX('[5]TS BYDem'!$J$10:$J$203,MATCH(D185,'[5]TS BYDem'!$D$10:$D$203,0))</f>
        <v/>
      </c>
      <c r="K185" s="225" t="e">
        <f t="shared" ca="1" si="64"/>
        <v>#VALUE!</v>
      </c>
      <c r="L185" s="225" t="e">
        <f t="shared" ca="1" si="64"/>
        <v>#VALUE!</v>
      </c>
      <c r="M185" s="225" t="e">
        <f t="shared" ca="1" si="64"/>
        <v>#VALUE!</v>
      </c>
      <c r="N185" s="225" t="e">
        <f t="shared" ca="1" si="64"/>
        <v>#VALUE!</v>
      </c>
      <c r="O185" s="225" t="e">
        <f t="shared" ca="1" si="64"/>
        <v>#VALUE!</v>
      </c>
      <c r="P185" s="225" t="e">
        <f t="shared" ca="1" si="64"/>
        <v>#VALUE!</v>
      </c>
      <c r="Q185" s="225" t="e">
        <f t="shared" ca="1" si="64"/>
        <v>#VALUE!</v>
      </c>
      <c r="R185" s="225" t="e">
        <f t="shared" ca="1" si="64"/>
        <v>#VALUE!</v>
      </c>
      <c r="S185" s="225" t="e">
        <f t="shared" ca="1" si="64"/>
        <v>#VALUE!</v>
      </c>
      <c r="T185" s="225" t="e">
        <f t="shared" ca="1" si="64"/>
        <v>#VALUE!</v>
      </c>
      <c r="U185" s="225" t="e">
        <f t="shared" ca="1" si="64"/>
        <v>#VALUE!</v>
      </c>
      <c r="V185" s="225" t="e">
        <f t="shared" ca="1" si="64"/>
        <v>#VALUE!</v>
      </c>
      <c r="W185" s="225" t="e">
        <f t="shared" ca="1" si="64"/>
        <v>#VALUE!</v>
      </c>
      <c r="X185" s="225" t="e">
        <f t="shared" ca="1" si="64"/>
        <v>#VALUE!</v>
      </c>
      <c r="Y185" s="225" t="e">
        <f t="shared" ca="1" si="64"/>
        <v>#VALUE!</v>
      </c>
      <c r="Z185" s="225" t="e">
        <f t="shared" ca="1" si="64"/>
        <v>#VALUE!</v>
      </c>
      <c r="AA185" s="225" t="e">
        <f t="shared" ca="1" si="65"/>
        <v>#VALUE!</v>
      </c>
      <c r="AB185" s="225" t="e">
        <f t="shared" ca="1" si="65"/>
        <v>#VALUE!</v>
      </c>
      <c r="AC185" s="225" t="e">
        <f t="shared" ca="1" si="65"/>
        <v>#VALUE!</v>
      </c>
      <c r="AD185" s="225" t="e">
        <f t="shared" ca="1" si="65"/>
        <v>#VALUE!</v>
      </c>
      <c r="AE185" s="225" t="e">
        <f t="shared" ca="1" si="65"/>
        <v>#VALUE!</v>
      </c>
      <c r="AF185" s="225" t="e">
        <f t="shared" ca="1" si="65"/>
        <v>#VALUE!</v>
      </c>
      <c r="AG185" s="225" t="e">
        <f t="shared" ca="1" si="65"/>
        <v>#VALUE!</v>
      </c>
      <c r="AH185" s="225" t="e">
        <f t="shared" ca="1" si="65"/>
        <v>#VALUE!</v>
      </c>
      <c r="AI185" s="225" t="e">
        <f t="shared" ca="1" si="65"/>
        <v>#VALUE!</v>
      </c>
      <c r="AJ185" s="225" t="e">
        <f t="shared" ca="1" si="65"/>
        <v>#VALUE!</v>
      </c>
      <c r="AK185" s="225" t="e">
        <f t="shared" ca="1" si="65"/>
        <v>#VALUE!</v>
      </c>
      <c r="AL185" s="225" t="e">
        <f t="shared" ca="1" si="65"/>
        <v>#VALUE!</v>
      </c>
      <c r="AM185" s="225" t="e">
        <f t="shared" ca="1" si="65"/>
        <v>#VALUE!</v>
      </c>
      <c r="AN185" s="225" t="e">
        <f t="shared" ca="1" si="65"/>
        <v>#VALUE!</v>
      </c>
      <c r="AO185" s="225" t="e">
        <f t="shared" ca="1" si="65"/>
        <v>#VALUE!</v>
      </c>
      <c r="AP185" s="225" t="e">
        <f t="shared" ca="1" si="65"/>
        <v>#VALUE!</v>
      </c>
    </row>
    <row r="186" spans="1:42">
      <c r="A186" s="61" t="str">
        <f>'[5]TS BYDem'!A125</f>
        <v>*</v>
      </c>
      <c r="B186" s="225" t="s">
        <v>288</v>
      </c>
      <c r="C186" s="225" t="s">
        <v>137</v>
      </c>
      <c r="D186" s="225" t="str">
        <f>'[5]TS BYDem'!D125</f>
        <v>INMS</v>
      </c>
      <c r="E186" s="225" t="s">
        <v>137</v>
      </c>
      <c r="F186" s="225" t="s">
        <v>137</v>
      </c>
      <c r="G186" s="225" t="s">
        <v>137</v>
      </c>
      <c r="H186" s="225" t="s">
        <v>137</v>
      </c>
      <c r="I186" s="225">
        <v>0</v>
      </c>
      <c r="J186" s="225" t="str">
        <f>INDEX('[5]TS BYDem'!$J$10:$J$203,MATCH(D186,'[5]TS BYDem'!$D$10:$D$203,0))</f>
        <v/>
      </c>
      <c r="K186" s="225" t="e">
        <f t="shared" ca="1" si="64"/>
        <v>#VALUE!</v>
      </c>
      <c r="L186" s="225" t="e">
        <f t="shared" ca="1" si="64"/>
        <v>#VALUE!</v>
      </c>
      <c r="M186" s="225" t="e">
        <f t="shared" ca="1" si="64"/>
        <v>#VALUE!</v>
      </c>
      <c r="N186" s="225" t="e">
        <f t="shared" ca="1" si="64"/>
        <v>#VALUE!</v>
      </c>
      <c r="O186" s="225" t="e">
        <f t="shared" ca="1" si="64"/>
        <v>#VALUE!</v>
      </c>
      <c r="P186" s="225" t="e">
        <f t="shared" ca="1" si="64"/>
        <v>#VALUE!</v>
      </c>
      <c r="Q186" s="225" t="e">
        <f t="shared" ca="1" si="64"/>
        <v>#VALUE!</v>
      </c>
      <c r="R186" s="225" t="e">
        <f t="shared" ca="1" si="64"/>
        <v>#VALUE!</v>
      </c>
      <c r="S186" s="225" t="e">
        <f t="shared" ca="1" si="64"/>
        <v>#VALUE!</v>
      </c>
      <c r="T186" s="225" t="e">
        <f t="shared" ca="1" si="64"/>
        <v>#VALUE!</v>
      </c>
      <c r="U186" s="225" t="e">
        <f t="shared" ca="1" si="64"/>
        <v>#VALUE!</v>
      </c>
      <c r="V186" s="225" t="e">
        <f t="shared" ca="1" si="64"/>
        <v>#VALUE!</v>
      </c>
      <c r="W186" s="225" t="e">
        <f t="shared" ca="1" si="64"/>
        <v>#VALUE!</v>
      </c>
      <c r="X186" s="225" t="e">
        <f t="shared" ca="1" si="64"/>
        <v>#VALUE!</v>
      </c>
      <c r="Y186" s="225" t="e">
        <f t="shared" ca="1" si="64"/>
        <v>#VALUE!</v>
      </c>
      <c r="Z186" s="225" t="e">
        <f t="shared" ca="1" si="64"/>
        <v>#VALUE!</v>
      </c>
      <c r="AA186" s="225" t="e">
        <f t="shared" ca="1" si="65"/>
        <v>#VALUE!</v>
      </c>
      <c r="AB186" s="225" t="e">
        <f t="shared" ca="1" si="65"/>
        <v>#VALUE!</v>
      </c>
      <c r="AC186" s="225" t="e">
        <f t="shared" ca="1" si="65"/>
        <v>#VALUE!</v>
      </c>
      <c r="AD186" s="225" t="e">
        <f t="shared" ca="1" si="65"/>
        <v>#VALUE!</v>
      </c>
      <c r="AE186" s="225" t="e">
        <f t="shared" ca="1" si="65"/>
        <v>#VALUE!</v>
      </c>
      <c r="AF186" s="225" t="e">
        <f t="shared" ca="1" si="65"/>
        <v>#VALUE!</v>
      </c>
      <c r="AG186" s="225" t="e">
        <f t="shared" ca="1" si="65"/>
        <v>#VALUE!</v>
      </c>
      <c r="AH186" s="225" t="e">
        <f t="shared" ca="1" si="65"/>
        <v>#VALUE!</v>
      </c>
      <c r="AI186" s="225" t="e">
        <f t="shared" ca="1" si="65"/>
        <v>#VALUE!</v>
      </c>
      <c r="AJ186" s="225" t="e">
        <f t="shared" ca="1" si="65"/>
        <v>#VALUE!</v>
      </c>
      <c r="AK186" s="225" t="e">
        <f t="shared" ca="1" si="65"/>
        <v>#VALUE!</v>
      </c>
      <c r="AL186" s="225" t="e">
        <f t="shared" ca="1" si="65"/>
        <v>#VALUE!</v>
      </c>
      <c r="AM186" s="225" t="e">
        <f t="shared" ca="1" si="65"/>
        <v>#VALUE!</v>
      </c>
      <c r="AN186" s="225" t="e">
        <f t="shared" ca="1" si="65"/>
        <v>#VALUE!</v>
      </c>
      <c r="AO186" s="225" t="e">
        <f t="shared" ca="1" si="65"/>
        <v>#VALUE!</v>
      </c>
      <c r="AP186" s="225" t="e">
        <f t="shared" ca="1" si="65"/>
        <v>#VALUE!</v>
      </c>
    </row>
    <row r="187" spans="1:42">
      <c r="A187" s="61" t="str">
        <f>'[5]TS BYDem'!A126</f>
        <v>*</v>
      </c>
      <c r="B187" s="225" t="s">
        <v>288</v>
      </c>
      <c r="C187" s="225" t="s">
        <v>137</v>
      </c>
      <c r="D187" s="225" t="str">
        <f>'[5]TS BYDem'!D126</f>
        <v>INMS</v>
      </c>
      <c r="E187" s="225" t="s">
        <v>137</v>
      </c>
      <c r="F187" s="225" t="s">
        <v>137</v>
      </c>
      <c r="G187" s="225" t="s">
        <v>137</v>
      </c>
      <c r="H187" s="225" t="s">
        <v>137</v>
      </c>
      <c r="I187" s="225">
        <v>0</v>
      </c>
      <c r="J187" s="225" t="str">
        <f>INDEX('[5]TS BYDem'!$J$10:$J$203,MATCH(D187,'[5]TS BYDem'!$D$10:$D$203,0))</f>
        <v/>
      </c>
      <c r="K187" s="225" t="e">
        <f t="shared" ca="1" si="64"/>
        <v>#VALUE!</v>
      </c>
      <c r="L187" s="225" t="e">
        <f t="shared" ca="1" si="64"/>
        <v>#VALUE!</v>
      </c>
      <c r="M187" s="225" t="e">
        <f t="shared" ca="1" si="64"/>
        <v>#VALUE!</v>
      </c>
      <c r="N187" s="225" t="e">
        <f t="shared" ca="1" si="64"/>
        <v>#VALUE!</v>
      </c>
      <c r="O187" s="225" t="e">
        <f t="shared" ca="1" si="64"/>
        <v>#VALUE!</v>
      </c>
      <c r="P187" s="225" t="e">
        <f t="shared" ca="1" si="64"/>
        <v>#VALUE!</v>
      </c>
      <c r="Q187" s="225" t="e">
        <f t="shared" ca="1" si="64"/>
        <v>#VALUE!</v>
      </c>
      <c r="R187" s="225" t="e">
        <f t="shared" ca="1" si="64"/>
        <v>#VALUE!</v>
      </c>
      <c r="S187" s="225" t="e">
        <f t="shared" ca="1" si="64"/>
        <v>#VALUE!</v>
      </c>
      <c r="T187" s="225" t="e">
        <f t="shared" ca="1" si="64"/>
        <v>#VALUE!</v>
      </c>
      <c r="U187" s="225" t="e">
        <f t="shared" ca="1" si="64"/>
        <v>#VALUE!</v>
      </c>
      <c r="V187" s="225" t="e">
        <f t="shared" ca="1" si="64"/>
        <v>#VALUE!</v>
      </c>
      <c r="W187" s="225" t="e">
        <f t="shared" ca="1" si="64"/>
        <v>#VALUE!</v>
      </c>
      <c r="X187" s="225" t="e">
        <f t="shared" ca="1" si="64"/>
        <v>#VALUE!</v>
      </c>
      <c r="Y187" s="225" t="e">
        <f t="shared" ca="1" si="64"/>
        <v>#VALUE!</v>
      </c>
      <c r="Z187" s="225" t="e">
        <f t="shared" ca="1" si="64"/>
        <v>#VALUE!</v>
      </c>
      <c r="AA187" s="225" t="e">
        <f t="shared" ca="1" si="65"/>
        <v>#VALUE!</v>
      </c>
      <c r="AB187" s="225" t="e">
        <f t="shared" ca="1" si="65"/>
        <v>#VALUE!</v>
      </c>
      <c r="AC187" s="225" t="e">
        <f t="shared" ca="1" si="65"/>
        <v>#VALUE!</v>
      </c>
      <c r="AD187" s="225" t="e">
        <f t="shared" ca="1" si="65"/>
        <v>#VALUE!</v>
      </c>
      <c r="AE187" s="225" t="e">
        <f t="shared" ca="1" si="65"/>
        <v>#VALUE!</v>
      </c>
      <c r="AF187" s="225" t="e">
        <f t="shared" ca="1" si="65"/>
        <v>#VALUE!</v>
      </c>
      <c r="AG187" s="225" t="e">
        <f t="shared" ca="1" si="65"/>
        <v>#VALUE!</v>
      </c>
      <c r="AH187" s="225" t="e">
        <f t="shared" ca="1" si="65"/>
        <v>#VALUE!</v>
      </c>
      <c r="AI187" s="225" t="e">
        <f t="shared" ca="1" si="65"/>
        <v>#VALUE!</v>
      </c>
      <c r="AJ187" s="225" t="e">
        <f t="shared" ca="1" si="65"/>
        <v>#VALUE!</v>
      </c>
      <c r="AK187" s="225" t="e">
        <f t="shared" ca="1" si="65"/>
        <v>#VALUE!</v>
      </c>
      <c r="AL187" s="225" t="e">
        <f t="shared" ca="1" si="65"/>
        <v>#VALUE!</v>
      </c>
      <c r="AM187" s="225" t="e">
        <f t="shared" ca="1" si="65"/>
        <v>#VALUE!</v>
      </c>
      <c r="AN187" s="225" t="e">
        <f t="shared" ca="1" si="65"/>
        <v>#VALUE!</v>
      </c>
      <c r="AO187" s="225" t="e">
        <f t="shared" ca="1" si="65"/>
        <v>#VALUE!</v>
      </c>
      <c r="AP187" s="225" t="e">
        <f t="shared" ca="1" si="65"/>
        <v>#VALUE!</v>
      </c>
    </row>
    <row r="188" spans="1:42">
      <c r="A188" s="61" t="str">
        <f>'[5]TS BYDem'!A127</f>
        <v>*</v>
      </c>
      <c r="B188" s="225" t="s">
        <v>288</v>
      </c>
      <c r="C188" s="225" t="s">
        <v>137</v>
      </c>
      <c r="D188" s="225" t="str">
        <f>'[5]TS BYDem'!D127</f>
        <v>INMS</v>
      </c>
      <c r="E188" s="225" t="s">
        <v>137</v>
      </c>
      <c r="F188" s="225" t="s">
        <v>137</v>
      </c>
      <c r="G188" s="225" t="s">
        <v>137</v>
      </c>
      <c r="H188" s="225" t="s">
        <v>137</v>
      </c>
      <c r="I188" s="225">
        <v>0</v>
      </c>
      <c r="J188" s="225" t="str">
        <f>INDEX('[5]TS BYDem'!$J$10:$J$203,MATCH(D188,'[5]TS BYDem'!$D$10:$D$203,0))</f>
        <v/>
      </c>
      <c r="K188" s="225" t="e">
        <f t="shared" ca="1" si="64"/>
        <v>#VALUE!</v>
      </c>
      <c r="L188" s="225" t="e">
        <f t="shared" ca="1" si="64"/>
        <v>#VALUE!</v>
      </c>
      <c r="M188" s="225" t="e">
        <f t="shared" ca="1" si="64"/>
        <v>#VALUE!</v>
      </c>
      <c r="N188" s="225" t="e">
        <f t="shared" ca="1" si="64"/>
        <v>#VALUE!</v>
      </c>
      <c r="O188" s="225" t="e">
        <f t="shared" ca="1" si="64"/>
        <v>#VALUE!</v>
      </c>
      <c r="P188" s="225" t="e">
        <f t="shared" ca="1" si="64"/>
        <v>#VALUE!</v>
      </c>
      <c r="Q188" s="225" t="e">
        <f t="shared" ca="1" si="64"/>
        <v>#VALUE!</v>
      </c>
      <c r="R188" s="225" t="e">
        <f t="shared" ca="1" si="64"/>
        <v>#VALUE!</v>
      </c>
      <c r="S188" s="225" t="e">
        <f t="shared" ca="1" si="64"/>
        <v>#VALUE!</v>
      </c>
      <c r="T188" s="225" t="e">
        <f t="shared" ca="1" si="64"/>
        <v>#VALUE!</v>
      </c>
      <c r="U188" s="225" t="e">
        <f t="shared" ca="1" si="64"/>
        <v>#VALUE!</v>
      </c>
      <c r="V188" s="225" t="e">
        <f t="shared" ca="1" si="64"/>
        <v>#VALUE!</v>
      </c>
      <c r="W188" s="225" t="e">
        <f t="shared" ca="1" si="64"/>
        <v>#VALUE!</v>
      </c>
      <c r="X188" s="225" t="e">
        <f t="shared" ca="1" si="64"/>
        <v>#VALUE!</v>
      </c>
      <c r="Y188" s="225" t="e">
        <f t="shared" ca="1" si="64"/>
        <v>#VALUE!</v>
      </c>
      <c r="Z188" s="225" t="e">
        <f t="shared" ca="1" si="64"/>
        <v>#VALUE!</v>
      </c>
      <c r="AA188" s="225" t="e">
        <f t="shared" ca="1" si="65"/>
        <v>#VALUE!</v>
      </c>
      <c r="AB188" s="225" t="e">
        <f t="shared" ca="1" si="65"/>
        <v>#VALUE!</v>
      </c>
      <c r="AC188" s="225" t="e">
        <f t="shared" ca="1" si="65"/>
        <v>#VALUE!</v>
      </c>
      <c r="AD188" s="225" t="e">
        <f t="shared" ca="1" si="65"/>
        <v>#VALUE!</v>
      </c>
      <c r="AE188" s="225" t="e">
        <f t="shared" ca="1" si="65"/>
        <v>#VALUE!</v>
      </c>
      <c r="AF188" s="225" t="e">
        <f t="shared" ca="1" si="65"/>
        <v>#VALUE!</v>
      </c>
      <c r="AG188" s="225" t="e">
        <f t="shared" ca="1" si="65"/>
        <v>#VALUE!</v>
      </c>
      <c r="AH188" s="225" t="e">
        <f t="shared" ca="1" si="65"/>
        <v>#VALUE!</v>
      </c>
      <c r="AI188" s="225" t="e">
        <f t="shared" ca="1" si="65"/>
        <v>#VALUE!</v>
      </c>
      <c r="AJ188" s="225" t="e">
        <f t="shared" ca="1" si="65"/>
        <v>#VALUE!</v>
      </c>
      <c r="AK188" s="225" t="e">
        <f t="shared" ca="1" si="65"/>
        <v>#VALUE!</v>
      </c>
      <c r="AL188" s="225" t="e">
        <f t="shared" ca="1" si="65"/>
        <v>#VALUE!</v>
      </c>
      <c r="AM188" s="225" t="e">
        <f t="shared" ca="1" si="65"/>
        <v>#VALUE!</v>
      </c>
      <c r="AN188" s="225" t="e">
        <f t="shared" ca="1" si="65"/>
        <v>#VALUE!</v>
      </c>
      <c r="AO188" s="225" t="e">
        <f t="shared" ca="1" si="65"/>
        <v>#VALUE!</v>
      </c>
      <c r="AP188" s="225" t="e">
        <f t="shared" ca="1" si="65"/>
        <v>#VALUE!</v>
      </c>
    </row>
    <row r="189" spans="1:42">
      <c r="A189" s="61" t="str">
        <f>'[5]TS BYDem'!A128</f>
        <v>*</v>
      </c>
      <c r="B189" s="225" t="s">
        <v>288</v>
      </c>
      <c r="C189" s="225" t="s">
        <v>137</v>
      </c>
      <c r="D189" s="225" t="str">
        <f>'[5]TS BYDem'!D128</f>
        <v>INMS</v>
      </c>
      <c r="E189" s="225" t="s">
        <v>137</v>
      </c>
      <c r="F189" s="225" t="s">
        <v>137</v>
      </c>
      <c r="G189" s="225" t="s">
        <v>137</v>
      </c>
      <c r="H189" s="225" t="s">
        <v>137</v>
      </c>
      <c r="I189" s="225">
        <v>0</v>
      </c>
      <c r="J189" s="225" t="str">
        <f>INDEX('[5]TS BYDem'!$J$10:$J$203,MATCH(D189,'[5]TS BYDem'!$D$10:$D$203,0))</f>
        <v/>
      </c>
      <c r="K189" s="225" t="e">
        <f t="shared" ca="1" si="64"/>
        <v>#VALUE!</v>
      </c>
      <c r="L189" s="225" t="e">
        <f t="shared" ca="1" si="64"/>
        <v>#VALUE!</v>
      </c>
      <c r="M189" s="225" t="e">
        <f t="shared" ca="1" si="64"/>
        <v>#VALUE!</v>
      </c>
      <c r="N189" s="225" t="e">
        <f t="shared" ca="1" si="64"/>
        <v>#VALUE!</v>
      </c>
      <c r="O189" s="225" t="e">
        <f t="shared" ca="1" si="64"/>
        <v>#VALUE!</v>
      </c>
      <c r="P189" s="225" t="e">
        <f t="shared" ca="1" si="64"/>
        <v>#VALUE!</v>
      </c>
      <c r="Q189" s="225" t="e">
        <f t="shared" ca="1" si="64"/>
        <v>#VALUE!</v>
      </c>
      <c r="R189" s="225" t="e">
        <f t="shared" ca="1" si="64"/>
        <v>#VALUE!</v>
      </c>
      <c r="S189" s="225" t="e">
        <f t="shared" ca="1" si="64"/>
        <v>#VALUE!</v>
      </c>
      <c r="T189" s="225" t="e">
        <f t="shared" ca="1" si="64"/>
        <v>#VALUE!</v>
      </c>
      <c r="U189" s="225" t="e">
        <f t="shared" ca="1" si="64"/>
        <v>#VALUE!</v>
      </c>
      <c r="V189" s="225" t="e">
        <f t="shared" ca="1" si="64"/>
        <v>#VALUE!</v>
      </c>
      <c r="W189" s="225" t="e">
        <f t="shared" ca="1" si="64"/>
        <v>#VALUE!</v>
      </c>
      <c r="X189" s="225" t="e">
        <f t="shared" ca="1" si="64"/>
        <v>#VALUE!</v>
      </c>
      <c r="Y189" s="225" t="e">
        <f t="shared" ca="1" si="64"/>
        <v>#VALUE!</v>
      </c>
      <c r="Z189" s="225" t="e">
        <f t="shared" ref="Z189:AO189" ca="1" si="66">Z$173/Y$173*Y189</f>
        <v>#VALUE!</v>
      </c>
      <c r="AA189" s="225" t="e">
        <f t="shared" ca="1" si="66"/>
        <v>#VALUE!</v>
      </c>
      <c r="AB189" s="225" t="e">
        <f t="shared" ca="1" si="66"/>
        <v>#VALUE!</v>
      </c>
      <c r="AC189" s="225" t="e">
        <f t="shared" ca="1" si="66"/>
        <v>#VALUE!</v>
      </c>
      <c r="AD189" s="225" t="e">
        <f t="shared" ca="1" si="66"/>
        <v>#VALUE!</v>
      </c>
      <c r="AE189" s="225" t="e">
        <f t="shared" ca="1" si="66"/>
        <v>#VALUE!</v>
      </c>
      <c r="AF189" s="225" t="e">
        <f t="shared" ca="1" si="66"/>
        <v>#VALUE!</v>
      </c>
      <c r="AG189" s="225" t="e">
        <f t="shared" ca="1" si="66"/>
        <v>#VALUE!</v>
      </c>
      <c r="AH189" s="225" t="e">
        <f t="shared" ca="1" si="66"/>
        <v>#VALUE!</v>
      </c>
      <c r="AI189" s="225" t="e">
        <f t="shared" ca="1" si="66"/>
        <v>#VALUE!</v>
      </c>
      <c r="AJ189" s="225" t="e">
        <f t="shared" ca="1" si="66"/>
        <v>#VALUE!</v>
      </c>
      <c r="AK189" s="225" t="e">
        <f t="shared" ca="1" si="66"/>
        <v>#VALUE!</v>
      </c>
      <c r="AL189" s="225" t="e">
        <f t="shared" ca="1" si="66"/>
        <v>#VALUE!</v>
      </c>
      <c r="AM189" s="225" t="e">
        <f t="shared" ca="1" si="66"/>
        <v>#VALUE!</v>
      </c>
      <c r="AN189" s="225" t="e">
        <f t="shared" ca="1" si="66"/>
        <v>#VALUE!</v>
      </c>
      <c r="AO189" s="225" t="e">
        <f t="shared" ca="1" si="66"/>
        <v>#VALUE!</v>
      </c>
      <c r="AP189" s="225" t="e">
        <f t="shared" ca="1" si="65"/>
        <v>#VALUE!</v>
      </c>
    </row>
    <row r="190" spans="1:42">
      <c r="A190" s="61" t="str">
        <f>'[5]TS BYDem'!A129</f>
        <v>*</v>
      </c>
      <c r="B190" s="225" t="s">
        <v>288</v>
      </c>
      <c r="C190" s="225" t="s">
        <v>137</v>
      </c>
      <c r="D190" s="225" t="str">
        <f>'[5]TS BYDem'!D129</f>
        <v>Useful Energy Service</v>
      </c>
      <c r="E190" s="225" t="s">
        <v>137</v>
      </c>
      <c r="F190" s="225" t="s">
        <v>137</v>
      </c>
      <c r="G190" s="225" t="s">
        <v>137</v>
      </c>
      <c r="H190" s="225" t="s">
        <v>137</v>
      </c>
      <c r="I190" s="225">
        <v>0</v>
      </c>
      <c r="J190" s="225" t="str">
        <f>INDEX('[5]TS BYDem'!$J$10:$J$203,MATCH(D190,'[5]TS BYDem'!$D$10:$D$203,0))</f>
        <v/>
      </c>
    </row>
    <row r="191" spans="1:42">
      <c r="A191" s="61" t="str">
        <f>'[5]TS BYDem'!A130</f>
        <v>*</v>
      </c>
      <c r="B191" s="225" t="s">
        <v>288</v>
      </c>
      <c r="C191" s="225" t="s">
        <v>137</v>
      </c>
      <c r="D191" s="225">
        <f>'[5]TS BYDem'!D130</f>
        <v>0</v>
      </c>
      <c r="E191" s="225" t="s">
        <v>137</v>
      </c>
      <c r="F191" s="225" t="s">
        <v>137</v>
      </c>
      <c r="G191" s="225" t="s">
        <v>137</v>
      </c>
      <c r="H191" s="225" t="s">
        <v>137</v>
      </c>
      <c r="I191" s="225">
        <v>0</v>
      </c>
      <c r="J191" s="225" t="str">
        <f>INDEX('[5]TS BYDem'!$J$10:$J$203,MATCH(D191,'[5]TS BYDem'!$D$10:$D$203,0))</f>
        <v/>
      </c>
    </row>
    <row r="192" spans="1:42" s="5" customFormat="1">
      <c r="A192" s="61" t="str">
        <f>'[5]TS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61" t="str">
        <f>'[5]TS BYDem'!A132</f>
        <v/>
      </c>
      <c r="B193" s="225" t="s">
        <v>288</v>
      </c>
      <c r="C193" s="225" t="s">
        <v>137</v>
      </c>
      <c r="D193" s="225" t="str">
        <f>'[5]TS BYDem'!D132</f>
        <v>IFBK</v>
      </c>
      <c r="E193" s="225" t="s">
        <v>137</v>
      </c>
      <c r="F193" s="225" t="s">
        <v>137</v>
      </c>
      <c r="G193" s="225" t="s">
        <v>137</v>
      </c>
      <c r="H193" s="225" t="s">
        <v>137</v>
      </c>
      <c r="I193" s="225">
        <v>0</v>
      </c>
      <c r="J193" s="225">
        <f>INDEX('[5]TS BYDem'!$J$10:$J$203,MATCH(D193,'[5]TS BYDem'!$D$10:$D$203,0))</f>
        <v>1.1176071642017353</v>
      </c>
      <c r="K193" s="225">
        <f t="shared" ref="K193:Z208" ca="1" si="68">K$192/J$192*J193</f>
        <v>1.1381346427278896</v>
      </c>
      <c r="L193" s="225">
        <f t="shared" ca="1" si="68"/>
        <v>1.1529000220186323</v>
      </c>
      <c r="M193" s="232">
        <f t="shared" ref="M193:M201" si="69">O193</f>
        <v>1.04664</v>
      </c>
      <c r="N193" s="232">
        <f t="shared" ref="N193:N201" si="70">O193</f>
        <v>1.04664</v>
      </c>
      <c r="O193" s="232">
        <f>INDEX('[5]TS BYDem'!$O$10:$O$203,MATCH(D193,'[5]TS BYDem'!$D$10:$D$203,0))</f>
        <v>1.04664</v>
      </c>
      <c r="P193" s="225">
        <f t="shared" ca="1" si="68"/>
        <v>1.0538095000511196</v>
      </c>
      <c r="Q193" s="225">
        <f t="shared" ca="1" si="68"/>
        <v>1.0455699253655044</v>
      </c>
      <c r="R193" s="225">
        <f t="shared" ca="1" si="68"/>
        <v>0.99292225334832829</v>
      </c>
      <c r="S193" s="225">
        <f t="shared" ca="1" si="68"/>
        <v>1.0227773356507512</v>
      </c>
      <c r="T193" s="225">
        <f t="shared" ca="1" si="68"/>
        <v>1.0500642388303851</v>
      </c>
      <c r="U193" s="225">
        <f t="shared" ca="1" si="68"/>
        <v>1.0724287986913401</v>
      </c>
      <c r="V193" s="225">
        <f t="shared" ca="1" si="68"/>
        <v>1.093402261527451</v>
      </c>
      <c r="W193" s="225">
        <f t="shared" ca="1" si="68"/>
        <v>1.1158738288518555</v>
      </c>
      <c r="X193" s="225">
        <f t="shared" ca="1" si="68"/>
        <v>1.1466919783253244</v>
      </c>
      <c r="Y193" s="225">
        <f t="shared" ca="1" si="68"/>
        <v>1.1760120233104998</v>
      </c>
      <c r="Z193" s="225">
        <f t="shared" ca="1" si="68"/>
        <v>1.2054390757591247</v>
      </c>
      <c r="AA193" s="225">
        <f t="shared" ref="AA193:AP208" ca="1" si="71">AA$192/Z$192*Z193</f>
        <v>1.2329399938656576</v>
      </c>
      <c r="AB193" s="225">
        <f t="shared" ca="1" si="71"/>
        <v>1.2609759492894383</v>
      </c>
      <c r="AC193" s="225">
        <f t="shared" ca="1" si="71"/>
        <v>1.2887978897863199</v>
      </c>
      <c r="AD193" s="225">
        <f t="shared" ca="1" si="71"/>
        <v>1.3145866884776602</v>
      </c>
      <c r="AE193" s="225">
        <f t="shared" ca="1" si="71"/>
        <v>1.342622643901441</v>
      </c>
      <c r="AF193" s="225">
        <f t="shared" ca="1" si="71"/>
        <v>1.3719426888866166</v>
      </c>
      <c r="AG193" s="225">
        <f t="shared" ca="1" si="71"/>
        <v>1.4019047786524892</v>
      </c>
      <c r="AH193" s="225">
        <f t="shared" ca="1" si="71"/>
        <v>1.435184099785298</v>
      </c>
      <c r="AI193" s="225">
        <f t="shared" ca="1" si="71"/>
        <v>1.4695334955526023</v>
      </c>
      <c r="AJ193" s="225">
        <f t="shared" ca="1" si="71"/>
        <v>1.5033478540026584</v>
      </c>
      <c r="AK193" s="225">
        <f t="shared" ca="1" si="71"/>
        <v>1.5379112646968611</v>
      </c>
      <c r="AL193" s="225">
        <f t="shared" ca="1" si="71"/>
        <v>1.5739727798793577</v>
      </c>
      <c r="AM193" s="225">
        <f t="shared" ca="1" si="71"/>
        <v>1.7550294080359876</v>
      </c>
      <c r="AN193" s="225">
        <f t="shared" ca="1" si="71"/>
        <v>1.9731106185461602</v>
      </c>
      <c r="AO193" s="225">
        <f t="shared" ca="1" si="71"/>
        <v>2.3660776934873669</v>
      </c>
      <c r="AP193" s="225">
        <f t="shared" ca="1" si="71"/>
        <v>2.7652155321541718</v>
      </c>
    </row>
    <row r="194" spans="1:42">
      <c r="A194" s="61" t="str">
        <f>'[5]TS BYDem'!A133</f>
        <v/>
      </c>
      <c r="B194" s="225" t="s">
        <v>288</v>
      </c>
      <c r="C194" s="225" t="s">
        <v>137</v>
      </c>
      <c r="D194" s="225" t="str">
        <f>'[5]TS BYDem'!D133</f>
        <v>IFBA</v>
      </c>
      <c r="E194" s="225" t="s">
        <v>137</v>
      </c>
      <c r="F194" s="225" t="s">
        <v>137</v>
      </c>
      <c r="G194" s="225" t="s">
        <v>137</v>
      </c>
      <c r="H194" s="225" t="s">
        <v>137</v>
      </c>
      <c r="I194" s="225">
        <v>0</v>
      </c>
      <c r="J194" s="225">
        <f>INDEX('[5]TS BYDem'!$J$10:$J$203,MATCH(D194,'[5]TS BYDem'!$D$10:$D$203,0))</f>
        <v>3.1931633262906718E-2</v>
      </c>
      <c r="K194" s="225">
        <f t="shared" ca="1" si="68"/>
        <v>3.2518132649368273E-2</v>
      </c>
      <c r="L194" s="225">
        <f t="shared" ca="1" si="68"/>
        <v>3.294000062910378E-2</v>
      </c>
      <c r="M194" s="232">
        <f t="shared" si="69"/>
        <v>2.9904000000000003E-2</v>
      </c>
      <c r="N194" s="232">
        <f t="shared" si="70"/>
        <v>2.9904000000000003E-2</v>
      </c>
      <c r="O194" s="232">
        <f>INDEX('[5]TS BYDem'!$O$10:$O$203,MATCH(D194,'[5]TS BYDem'!$D$10:$D$203,0))</f>
        <v>2.9904000000000003E-2</v>
      </c>
      <c r="P194" s="225">
        <f t="shared" ca="1" si="68"/>
        <v>3.0108842858603421E-2</v>
      </c>
      <c r="Q194" s="225">
        <f t="shared" ca="1" si="68"/>
        <v>2.9873426439014417E-2</v>
      </c>
      <c r="R194" s="225">
        <f t="shared" ca="1" si="68"/>
        <v>2.836920723852367E-2</v>
      </c>
      <c r="S194" s="225">
        <f t="shared" ca="1" si="68"/>
        <v>2.9222209590021468E-2</v>
      </c>
      <c r="T194" s="225">
        <f t="shared" ca="1" si="68"/>
        <v>3.0001835395153865E-2</v>
      </c>
      <c r="U194" s="225">
        <f t="shared" ca="1" si="68"/>
        <v>3.064082281975258E-2</v>
      </c>
      <c r="V194" s="225">
        <f t="shared" ca="1" si="68"/>
        <v>3.1240064615070031E-2</v>
      </c>
      <c r="W194" s="225">
        <f t="shared" ca="1" si="68"/>
        <v>3.18821093957673E-2</v>
      </c>
      <c r="X194" s="225">
        <f t="shared" ca="1" si="68"/>
        <v>3.276262795215213E-2</v>
      </c>
      <c r="Y194" s="225">
        <f t="shared" ca="1" si="68"/>
        <v>3.360034352315714E-2</v>
      </c>
      <c r="Z194" s="225">
        <f t="shared" ca="1" si="68"/>
        <v>3.4441116450260711E-2</v>
      </c>
      <c r="AA194" s="225">
        <f t="shared" ca="1" si="71"/>
        <v>3.5226856967590224E-2</v>
      </c>
      <c r="AB194" s="225">
        <f t="shared" ca="1" si="71"/>
        <v>3.6027884265412528E-2</v>
      </c>
      <c r="AC194" s="225">
        <f t="shared" ca="1" si="71"/>
        <v>3.6822796851037717E-2</v>
      </c>
      <c r="AD194" s="225">
        <f t="shared" ca="1" si="71"/>
        <v>3.7559619670790294E-2</v>
      </c>
      <c r="AE194" s="225">
        <f t="shared" ca="1" si="71"/>
        <v>3.8360646968612605E-2</v>
      </c>
      <c r="AF194" s="225">
        <f t="shared" ca="1" si="71"/>
        <v>3.9198362539617622E-2</v>
      </c>
      <c r="AG194" s="225">
        <f t="shared" ca="1" si="71"/>
        <v>4.0054422247213978E-2</v>
      </c>
      <c r="AH194" s="225">
        <f t="shared" ca="1" si="71"/>
        <v>4.1005259993865659E-2</v>
      </c>
      <c r="AI194" s="225">
        <f t="shared" ca="1" si="71"/>
        <v>4.1986671301502923E-2</v>
      </c>
      <c r="AJ194" s="225">
        <f t="shared" ca="1" si="71"/>
        <v>4.2952795828647382E-2</v>
      </c>
      <c r="AK194" s="225">
        <f t="shared" ca="1" si="71"/>
        <v>4.3940321848481748E-2</v>
      </c>
      <c r="AL194" s="225">
        <f t="shared" ca="1" si="71"/>
        <v>4.4970650853695934E-2</v>
      </c>
      <c r="AM194" s="225">
        <f t="shared" ca="1" si="71"/>
        <v>5.0143697372456789E-2</v>
      </c>
      <c r="AN194" s="225">
        <f t="shared" ca="1" si="71"/>
        <v>5.6374589101318866E-2</v>
      </c>
      <c r="AO194" s="225">
        <f t="shared" ca="1" si="71"/>
        <v>6.7602219813924766E-2</v>
      </c>
      <c r="AP194" s="225">
        <f t="shared" ca="1" si="71"/>
        <v>7.900615806154776E-2</v>
      </c>
    </row>
    <row r="195" spans="1:42">
      <c r="A195" s="61" t="str">
        <f>'[5]TS BYDem'!A134</f>
        <v/>
      </c>
      <c r="B195" s="225" t="s">
        <v>288</v>
      </c>
      <c r="C195" s="225" t="s">
        <v>137</v>
      </c>
      <c r="D195" s="225" t="str">
        <f>'[5]TS BYDem'!D134</f>
        <v>IFBL</v>
      </c>
      <c r="E195" s="225" t="s">
        <v>137</v>
      </c>
      <c r="F195" s="225" t="s">
        <v>137</v>
      </c>
      <c r="G195" s="225" t="s">
        <v>137</v>
      </c>
      <c r="H195" s="225" t="s">
        <v>137</v>
      </c>
      <c r="I195" s="225">
        <v>0</v>
      </c>
      <c r="J195" s="225">
        <f>INDEX('[5]TS BYDem'!$J$10:$J$203,MATCH(D195,'[5]TS BYDem'!$D$10:$D$203,0))</f>
        <v>0.23948724947180039</v>
      </c>
      <c r="K195" s="225">
        <f t="shared" ca="1" si="68"/>
        <v>0.24388599487026202</v>
      </c>
      <c r="L195" s="225">
        <f t="shared" ca="1" si="68"/>
        <v>0.24705000471827832</v>
      </c>
      <c r="M195" s="232">
        <f t="shared" si="69"/>
        <v>0.22428000000000001</v>
      </c>
      <c r="N195" s="232">
        <f t="shared" si="70"/>
        <v>0.22428000000000001</v>
      </c>
      <c r="O195" s="232">
        <f>INDEX('[5]TS BYDem'!$O$10:$O$203,MATCH(D195,'[5]TS BYDem'!$D$10:$D$203,0))</f>
        <v>0.22428000000000001</v>
      </c>
      <c r="P195" s="225">
        <f t="shared" ca="1" si="68"/>
        <v>0.22581632143952562</v>
      </c>
      <c r="Q195" s="225">
        <f t="shared" ca="1" si="68"/>
        <v>0.2240506982926081</v>
      </c>
      <c r="R195" s="225">
        <f t="shared" ca="1" si="68"/>
        <v>0.21276905428892751</v>
      </c>
      <c r="S195" s="225">
        <f t="shared" ca="1" si="68"/>
        <v>0.21916657192516098</v>
      </c>
      <c r="T195" s="225">
        <f t="shared" ca="1" si="68"/>
        <v>0.22501376546365395</v>
      </c>
      <c r="U195" s="225">
        <f t="shared" ca="1" si="68"/>
        <v>0.22980617114814431</v>
      </c>
      <c r="V195" s="225">
        <f t="shared" ca="1" si="68"/>
        <v>0.23430048461302519</v>
      </c>
      <c r="W195" s="225">
        <f t="shared" ca="1" si="68"/>
        <v>0.23911582046825472</v>
      </c>
      <c r="X195" s="225">
        <f t="shared" ca="1" si="68"/>
        <v>0.24571970964114093</v>
      </c>
      <c r="Y195" s="225">
        <f t="shared" ca="1" si="68"/>
        <v>0.25200257642367851</v>
      </c>
      <c r="Z195" s="225">
        <f t="shared" ca="1" si="68"/>
        <v>0.25830837337695528</v>
      </c>
      <c r="AA195" s="225">
        <f t="shared" ca="1" si="71"/>
        <v>0.26420142725692664</v>
      </c>
      <c r="AB195" s="225">
        <f t="shared" ca="1" si="71"/>
        <v>0.27020913199059393</v>
      </c>
      <c r="AC195" s="225">
        <f t="shared" ca="1" si="71"/>
        <v>0.27617097638278282</v>
      </c>
      <c r="AD195" s="225">
        <f t="shared" ca="1" si="71"/>
        <v>0.28169714753092717</v>
      </c>
      <c r="AE195" s="225">
        <f t="shared" ca="1" si="71"/>
        <v>0.28770485226459452</v>
      </c>
      <c r="AF195" s="225">
        <f t="shared" ca="1" si="71"/>
        <v>0.29398771904713217</v>
      </c>
      <c r="AG195" s="225">
        <f t="shared" ca="1" si="71"/>
        <v>0.30040816685410487</v>
      </c>
      <c r="AH195" s="225">
        <f t="shared" ca="1" si="71"/>
        <v>0.30753944995399246</v>
      </c>
      <c r="AI195" s="225">
        <f t="shared" ca="1" si="71"/>
        <v>0.31490003476127193</v>
      </c>
      <c r="AJ195" s="225">
        <f t="shared" ca="1" si="71"/>
        <v>0.3221459687148554</v>
      </c>
      <c r="AK195" s="225">
        <f t="shared" ca="1" si="71"/>
        <v>0.32955241386361317</v>
      </c>
      <c r="AL195" s="225">
        <f t="shared" ca="1" si="71"/>
        <v>0.33727988140271958</v>
      </c>
      <c r="AM195" s="225">
        <f t="shared" ca="1" si="71"/>
        <v>0.376077730293426</v>
      </c>
      <c r="AN195" s="225">
        <f t="shared" ca="1" si="71"/>
        <v>0.4228094182598916</v>
      </c>
      <c r="AO195" s="225">
        <f t="shared" ca="1" si="71"/>
        <v>0.50701664860443585</v>
      </c>
      <c r="AP195" s="225">
        <f t="shared" ca="1" si="71"/>
        <v>0.59254618546160831</v>
      </c>
    </row>
    <row r="196" spans="1:42">
      <c r="A196" s="61" t="str">
        <f>'[5]TS BYDem'!A135</f>
        <v/>
      </c>
      <c r="B196" s="225" t="s">
        <v>288</v>
      </c>
      <c r="C196" s="225" t="s">
        <v>137</v>
      </c>
      <c r="D196" s="225" t="str">
        <f>'[5]TS BYDem'!D135</f>
        <v>IFBC</v>
      </c>
      <c r="E196" s="225" t="s">
        <v>137</v>
      </c>
      <c r="F196" s="225" t="s">
        <v>137</v>
      </c>
      <c r="G196" s="225" t="s">
        <v>137</v>
      </c>
      <c r="H196" s="225" t="s">
        <v>137</v>
      </c>
      <c r="I196" s="225">
        <v>0</v>
      </c>
      <c r="J196" s="225">
        <f>INDEX('[5]TS BYDem'!$J$10:$J$203,MATCH(D196,'[5]TS BYDem'!$D$10:$D$203,0))</f>
        <v>7.3442756504685454</v>
      </c>
      <c r="K196" s="225">
        <f t="shared" ca="1" si="68"/>
        <v>7.4791705093547023</v>
      </c>
      <c r="L196" s="225">
        <f t="shared" ca="1" si="68"/>
        <v>7.5762001446938685</v>
      </c>
      <c r="M196" s="232">
        <f t="shared" si="69"/>
        <v>6.8779200000000005</v>
      </c>
      <c r="N196" s="232">
        <f t="shared" si="70"/>
        <v>6.8779200000000005</v>
      </c>
      <c r="O196" s="232">
        <f>INDEX('[5]TS BYDem'!$O$10:$O$203,MATCH(D196,'[5]TS BYDem'!$D$10:$D$203,0))</f>
        <v>6.8779200000000005</v>
      </c>
      <c r="P196" s="225">
        <f t="shared" ca="1" si="68"/>
        <v>6.9250338574787866</v>
      </c>
      <c r="Q196" s="225">
        <f t="shared" ca="1" si="68"/>
        <v>6.8708880809733159</v>
      </c>
      <c r="R196" s="225">
        <f t="shared" ca="1" si="68"/>
        <v>6.5249176648604443</v>
      </c>
      <c r="S196" s="225">
        <f t="shared" ca="1" si="68"/>
        <v>6.7211082057049376</v>
      </c>
      <c r="T196" s="225">
        <f t="shared" ca="1" si="68"/>
        <v>6.9004221408853894</v>
      </c>
      <c r="U196" s="225">
        <f t="shared" ca="1" si="68"/>
        <v>7.0473892485430936</v>
      </c>
      <c r="V196" s="225">
        <f t="shared" ca="1" si="68"/>
        <v>7.1852148614661075</v>
      </c>
      <c r="W196" s="225">
        <f t="shared" ca="1" si="68"/>
        <v>7.3328851610264794</v>
      </c>
      <c r="X196" s="225">
        <f t="shared" ca="1" si="68"/>
        <v>7.5354044289949895</v>
      </c>
      <c r="Y196" s="225">
        <f t="shared" ca="1" si="68"/>
        <v>7.7280790103261419</v>
      </c>
      <c r="Z196" s="225">
        <f t="shared" ca="1" si="68"/>
        <v>7.9214567835599627</v>
      </c>
      <c r="AA196" s="225">
        <f t="shared" ca="1" si="71"/>
        <v>8.1021771025457507</v>
      </c>
      <c r="AB196" s="225">
        <f t="shared" ca="1" si="71"/>
        <v>8.2864133810448806</v>
      </c>
      <c r="AC196" s="225">
        <f t="shared" ca="1" si="71"/>
        <v>8.4692432757386733</v>
      </c>
      <c r="AD196" s="225">
        <f t="shared" ca="1" si="71"/>
        <v>8.6387125242817664</v>
      </c>
      <c r="AE196" s="225">
        <f t="shared" ca="1" si="71"/>
        <v>8.822948802780898</v>
      </c>
      <c r="AF196" s="225">
        <f t="shared" ca="1" si="71"/>
        <v>9.0156233841120521</v>
      </c>
      <c r="AG196" s="225">
        <f t="shared" ca="1" si="71"/>
        <v>9.2125171168592139</v>
      </c>
      <c r="AH196" s="225">
        <f t="shared" ca="1" si="71"/>
        <v>9.4312097985890997</v>
      </c>
      <c r="AI196" s="225">
        <f t="shared" ca="1" si="71"/>
        <v>9.6569343993456691</v>
      </c>
      <c r="AJ196" s="225">
        <f t="shared" ca="1" si="71"/>
        <v>9.8791430405888949</v>
      </c>
      <c r="AK196" s="225">
        <f t="shared" ca="1" si="71"/>
        <v>10.1062740251508</v>
      </c>
      <c r="AL196" s="225">
        <f t="shared" ca="1" si="71"/>
        <v>10.343249696350062</v>
      </c>
      <c r="AM196" s="225">
        <f t="shared" ca="1" si="71"/>
        <v>11.533050395665059</v>
      </c>
      <c r="AN196" s="225">
        <f t="shared" ca="1" si="71"/>
        <v>12.966155493303336</v>
      </c>
      <c r="AO196" s="225">
        <f t="shared" ca="1" si="71"/>
        <v>15.548510557202693</v>
      </c>
      <c r="AP196" s="225">
        <f t="shared" ca="1" si="71"/>
        <v>18.171416354155983</v>
      </c>
    </row>
    <row r="197" spans="1:42">
      <c r="A197" s="61" t="str">
        <f>'[5]TS BYDem'!A136</f>
        <v/>
      </c>
      <c r="B197" s="225" t="s">
        <v>288</v>
      </c>
      <c r="C197" s="225" t="s">
        <v>137</v>
      </c>
      <c r="D197" s="225" t="str">
        <f>'[5]TS BYDem'!D136</f>
        <v>IFBH</v>
      </c>
      <c r="E197" s="225" t="s">
        <v>137</v>
      </c>
      <c r="F197" s="225" t="s">
        <v>137</v>
      </c>
      <c r="G197" s="225" t="s">
        <v>137</v>
      </c>
      <c r="H197" s="225" t="s">
        <v>137</v>
      </c>
      <c r="I197" s="225">
        <v>0</v>
      </c>
      <c r="J197" s="225">
        <f>INDEX('[5]TS BYDem'!$J$10:$J$203,MATCH(D197,'[5]TS BYDem'!$D$10:$D$203,0))</f>
        <v>0.86215409809848131</v>
      </c>
      <c r="K197" s="225">
        <f t="shared" ca="1" si="68"/>
        <v>0.87798958153294326</v>
      </c>
      <c r="L197" s="225">
        <f t="shared" ca="1" si="68"/>
        <v>0.88938001698580194</v>
      </c>
      <c r="M197" s="232">
        <f t="shared" si="69"/>
        <v>0.8074079999999999</v>
      </c>
      <c r="N197" s="232">
        <f t="shared" si="70"/>
        <v>0.8074079999999999</v>
      </c>
      <c r="O197" s="232">
        <f>INDEX('[5]TS BYDem'!$O$10:$O$203,MATCH(D197,'[5]TS BYDem'!$D$10:$D$203,0))</f>
        <v>0.8074079999999999</v>
      </c>
      <c r="P197" s="225">
        <f t="shared" ca="1" si="68"/>
        <v>0.81293875718229214</v>
      </c>
      <c r="Q197" s="225">
        <f t="shared" ca="1" si="68"/>
        <v>0.80658251385338908</v>
      </c>
      <c r="R197" s="225">
        <f t="shared" ca="1" si="68"/>
        <v>0.76596859544013896</v>
      </c>
      <c r="S197" s="225">
        <f t="shared" ca="1" si="68"/>
        <v>0.78899965893057955</v>
      </c>
      <c r="T197" s="225">
        <f t="shared" ca="1" si="68"/>
        <v>0.81004955566915426</v>
      </c>
      <c r="U197" s="225">
        <f t="shared" ca="1" si="68"/>
        <v>0.82730221613331956</v>
      </c>
      <c r="V197" s="225">
        <f t="shared" ca="1" si="68"/>
        <v>0.84348174460689074</v>
      </c>
      <c r="W197" s="225">
        <f t="shared" ca="1" si="68"/>
        <v>0.86081695368571698</v>
      </c>
      <c r="X197" s="225">
        <f t="shared" ca="1" si="68"/>
        <v>0.88459095470810734</v>
      </c>
      <c r="Y197" s="225">
        <f t="shared" ca="1" si="68"/>
        <v>0.90720927512524252</v>
      </c>
      <c r="Z197" s="225">
        <f t="shared" ca="1" si="68"/>
        <v>0.92991014415703888</v>
      </c>
      <c r="AA197" s="225">
        <f t="shared" ca="1" si="71"/>
        <v>0.95112513812493571</v>
      </c>
      <c r="AB197" s="225">
        <f t="shared" ca="1" si="71"/>
        <v>0.97275287516613795</v>
      </c>
      <c r="AC197" s="225">
        <f t="shared" ca="1" si="71"/>
        <v>0.99421551497801797</v>
      </c>
      <c r="AD197" s="225">
        <f t="shared" ca="1" si="71"/>
        <v>1.0141097311113376</v>
      </c>
      <c r="AE197" s="225">
        <f t="shared" ca="1" si="71"/>
        <v>1.03573746815254</v>
      </c>
      <c r="AF197" s="225">
        <f t="shared" ca="1" si="71"/>
        <v>1.0583557885696755</v>
      </c>
      <c r="AG197" s="225">
        <f t="shared" ca="1" si="71"/>
        <v>1.0814694006747771</v>
      </c>
      <c r="AH197" s="225">
        <f t="shared" ca="1" si="71"/>
        <v>1.1071420198343724</v>
      </c>
      <c r="AI197" s="225">
        <f t="shared" ca="1" si="71"/>
        <v>1.1336401251405785</v>
      </c>
      <c r="AJ197" s="225">
        <f t="shared" ca="1" si="71"/>
        <v>1.159725487373479</v>
      </c>
      <c r="AK197" s="225">
        <f t="shared" ca="1" si="71"/>
        <v>1.186388689909007</v>
      </c>
      <c r="AL197" s="225">
        <f t="shared" ca="1" si="71"/>
        <v>1.2142075730497901</v>
      </c>
      <c r="AM197" s="225">
        <f t="shared" ca="1" si="71"/>
        <v>1.3538798290563332</v>
      </c>
      <c r="AN197" s="225">
        <f t="shared" ca="1" si="71"/>
        <v>1.5221139057356092</v>
      </c>
      <c r="AO197" s="225">
        <f t="shared" ca="1" si="71"/>
        <v>1.8252599349759686</v>
      </c>
      <c r="AP197" s="225">
        <f t="shared" ca="1" si="71"/>
        <v>2.1331662676617893</v>
      </c>
    </row>
    <row r="198" spans="1:42">
      <c r="A198" s="61" t="str">
        <f>'[5]TS BYDem'!A137</f>
        <v/>
      </c>
      <c r="B198" s="225" t="s">
        <v>288</v>
      </c>
      <c r="C198" s="225" t="s">
        <v>137</v>
      </c>
      <c r="D198" s="225" t="str">
        <f>'[5]TS BYDem'!D137</f>
        <v>IFBP</v>
      </c>
      <c r="E198" s="225" t="s">
        <v>137</v>
      </c>
      <c r="F198" s="225" t="s">
        <v>137</v>
      </c>
      <c r="G198" s="225" t="s">
        <v>137</v>
      </c>
      <c r="H198" s="225" t="s">
        <v>137</v>
      </c>
      <c r="I198" s="225">
        <v>0</v>
      </c>
      <c r="J198" s="225">
        <f>INDEX('[5]TS BYDem'!$J$10:$J$203,MATCH(D198,'[5]TS BYDem'!$D$10:$D$203,0))</f>
        <v>3.576342925445553</v>
      </c>
      <c r="K198" s="225">
        <f t="shared" ca="1" si="68"/>
        <v>3.6420308567292468</v>
      </c>
      <c r="L198" s="225">
        <f t="shared" ca="1" si="68"/>
        <v>3.6892800704596236</v>
      </c>
      <c r="M198" s="232">
        <f t="shared" si="69"/>
        <v>3.3492480000000002</v>
      </c>
      <c r="N198" s="232">
        <f t="shared" si="70"/>
        <v>3.3492480000000002</v>
      </c>
      <c r="O198" s="232">
        <f>INDEX('[5]TS BYDem'!$O$10:$O$203,MATCH(D198,'[5]TS BYDem'!$D$10:$D$203,0))</f>
        <v>3.3492480000000002</v>
      </c>
      <c r="P198" s="225">
        <f t="shared" ca="1" si="68"/>
        <v>3.372190400163583</v>
      </c>
      <c r="Q198" s="225">
        <f t="shared" ca="1" si="68"/>
        <v>3.3458237611696147</v>
      </c>
      <c r="R198" s="225">
        <f t="shared" ca="1" si="68"/>
        <v>3.1773512107146513</v>
      </c>
      <c r="S198" s="225">
        <f t="shared" ca="1" si="68"/>
        <v>3.2728874740824048</v>
      </c>
      <c r="T198" s="225">
        <f t="shared" ca="1" si="68"/>
        <v>3.3602055642572335</v>
      </c>
      <c r="U198" s="225">
        <f t="shared" ca="1" si="68"/>
        <v>3.4317721558122893</v>
      </c>
      <c r="V198" s="225">
        <f t="shared" ca="1" si="68"/>
        <v>3.4988872368878439</v>
      </c>
      <c r="W198" s="225">
        <f t="shared" ca="1" si="68"/>
        <v>3.570796252325938</v>
      </c>
      <c r="X198" s="225">
        <f t="shared" ca="1" si="68"/>
        <v>3.6694143306410387</v>
      </c>
      <c r="Y198" s="225">
        <f t="shared" ca="1" si="68"/>
        <v>3.7632384745935998</v>
      </c>
      <c r="Z198" s="225">
        <f t="shared" ca="1" si="68"/>
        <v>3.8574050424291997</v>
      </c>
      <c r="AA198" s="225">
        <f t="shared" ca="1" si="71"/>
        <v>3.945407980370105</v>
      </c>
      <c r="AB198" s="225">
        <f t="shared" ca="1" si="71"/>
        <v>4.0351230377262031</v>
      </c>
      <c r="AC198" s="225">
        <f t="shared" ca="1" si="71"/>
        <v>4.1241532473162241</v>
      </c>
      <c r="AD198" s="225">
        <f t="shared" ca="1" si="71"/>
        <v>4.2066774031285128</v>
      </c>
      <c r="AE198" s="225">
        <f t="shared" ca="1" si="71"/>
        <v>4.2963924604846113</v>
      </c>
      <c r="AF198" s="225">
        <f t="shared" ca="1" si="71"/>
        <v>4.3902166044371729</v>
      </c>
      <c r="AG198" s="225">
        <f t="shared" ca="1" si="71"/>
        <v>4.4860952916879651</v>
      </c>
      <c r="AH198" s="225">
        <f t="shared" ca="1" si="71"/>
        <v>4.5925891193129527</v>
      </c>
      <c r="AI198" s="225">
        <f t="shared" ca="1" si="71"/>
        <v>4.7025071857683258</v>
      </c>
      <c r="AJ198" s="225">
        <f t="shared" ca="1" si="71"/>
        <v>4.8107131328085053</v>
      </c>
      <c r="AK198" s="225">
        <f t="shared" ca="1" si="71"/>
        <v>4.9213160470299542</v>
      </c>
      <c r="AL198" s="225">
        <f t="shared" ca="1" si="71"/>
        <v>5.0367128956139435</v>
      </c>
      <c r="AM198" s="225">
        <f t="shared" ca="1" si="71"/>
        <v>5.6160941057151597</v>
      </c>
      <c r="AN198" s="225">
        <f t="shared" ca="1" si="71"/>
        <v>6.313953979347712</v>
      </c>
      <c r="AO198" s="225">
        <f t="shared" ca="1" si="71"/>
        <v>7.5714486191595727</v>
      </c>
      <c r="AP198" s="225">
        <f t="shared" ca="1" si="71"/>
        <v>8.8486897028933473</v>
      </c>
    </row>
    <row r="199" spans="1:42">
      <c r="A199" s="61" t="str">
        <f>'[5]TS BYDem'!A138</f>
        <v/>
      </c>
      <c r="B199" s="225" t="s">
        <v>288</v>
      </c>
      <c r="C199" s="225" t="s">
        <v>137</v>
      </c>
      <c r="D199" s="225" t="str">
        <f>'[5]TS BYDem'!D138</f>
        <v>IFBF</v>
      </c>
      <c r="E199" s="225" t="s">
        <v>137</v>
      </c>
      <c r="F199" s="225" t="s">
        <v>137</v>
      </c>
      <c r="G199" s="225" t="s">
        <v>137</v>
      </c>
      <c r="H199" s="225" t="s">
        <v>137</v>
      </c>
      <c r="I199" s="225">
        <v>0</v>
      </c>
      <c r="J199" s="225">
        <f>INDEX('[5]TS BYDem'!$J$10:$J$203,MATCH(D199,'[5]TS BYDem'!$D$10:$D$203,0))</f>
        <v>0.51090613220650749</v>
      </c>
      <c r="K199" s="225">
        <f t="shared" ca="1" si="68"/>
        <v>0.52029012238989236</v>
      </c>
      <c r="L199" s="225">
        <f t="shared" ca="1" si="68"/>
        <v>0.52704001006566048</v>
      </c>
      <c r="M199" s="232">
        <f t="shared" si="69"/>
        <v>0.47846400000000006</v>
      </c>
      <c r="N199" s="232">
        <f t="shared" si="70"/>
        <v>0.47846400000000006</v>
      </c>
      <c r="O199" s="232">
        <f>INDEX('[5]TS BYDem'!$O$10:$O$203,MATCH(D199,'[5]TS BYDem'!$D$10:$D$203,0))</f>
        <v>0.47846400000000006</v>
      </c>
      <c r="P199" s="225">
        <f t="shared" ca="1" si="68"/>
        <v>0.48174148573765474</v>
      </c>
      <c r="Q199" s="225">
        <f t="shared" ca="1" si="68"/>
        <v>0.47797482302423067</v>
      </c>
      <c r="R199" s="225">
        <f t="shared" ca="1" si="68"/>
        <v>0.45390731581637872</v>
      </c>
      <c r="S199" s="225">
        <f t="shared" ca="1" si="68"/>
        <v>0.46755535344034349</v>
      </c>
      <c r="T199" s="225">
        <f t="shared" ca="1" si="68"/>
        <v>0.48002936632246185</v>
      </c>
      <c r="U199" s="225">
        <f t="shared" ca="1" si="68"/>
        <v>0.49025316511604128</v>
      </c>
      <c r="V199" s="225">
        <f t="shared" ca="1" si="68"/>
        <v>0.4998410338411205</v>
      </c>
      <c r="W199" s="225">
        <f t="shared" ca="1" si="68"/>
        <v>0.51011375033227679</v>
      </c>
      <c r="X199" s="225">
        <f t="shared" ca="1" si="68"/>
        <v>0.52420204723443409</v>
      </c>
      <c r="Y199" s="225">
        <f t="shared" ca="1" si="68"/>
        <v>0.53760549637051425</v>
      </c>
      <c r="Z199" s="225">
        <f t="shared" ca="1" si="68"/>
        <v>0.55105786320417138</v>
      </c>
      <c r="AA199" s="225">
        <f t="shared" ca="1" si="71"/>
        <v>0.56362971148144358</v>
      </c>
      <c r="AB199" s="225">
        <f t="shared" ca="1" si="71"/>
        <v>0.57644614824660045</v>
      </c>
      <c r="AC199" s="225">
        <f t="shared" ca="1" si="71"/>
        <v>0.58916474961660348</v>
      </c>
      <c r="AD199" s="225">
        <f t="shared" ca="1" si="71"/>
        <v>0.6009539147326447</v>
      </c>
      <c r="AE199" s="225">
        <f t="shared" ca="1" si="71"/>
        <v>0.61377035149780168</v>
      </c>
      <c r="AF199" s="225">
        <f t="shared" ca="1" si="71"/>
        <v>0.62717380063388195</v>
      </c>
      <c r="AG199" s="225">
        <f t="shared" ca="1" si="71"/>
        <v>0.64087075595542364</v>
      </c>
      <c r="AH199" s="225">
        <f t="shared" ca="1" si="71"/>
        <v>0.65608415990185054</v>
      </c>
      <c r="AI199" s="225">
        <f t="shared" ca="1" si="71"/>
        <v>0.67178674082404677</v>
      </c>
      <c r="AJ199" s="225">
        <f t="shared" ca="1" si="71"/>
        <v>0.68724473325835811</v>
      </c>
      <c r="AK199" s="225">
        <f t="shared" ca="1" si="71"/>
        <v>0.70304514957570796</v>
      </c>
      <c r="AL199" s="225">
        <f t="shared" ca="1" si="71"/>
        <v>0.71953041365913495</v>
      </c>
      <c r="AM199" s="225">
        <f t="shared" ca="1" si="71"/>
        <v>0.80229915795930862</v>
      </c>
      <c r="AN199" s="225">
        <f t="shared" ca="1" si="71"/>
        <v>0.90199342562110185</v>
      </c>
      <c r="AO199" s="225">
        <f t="shared" ca="1" si="71"/>
        <v>1.0816355170227963</v>
      </c>
      <c r="AP199" s="225">
        <f t="shared" ca="1" si="71"/>
        <v>1.2640985289847642</v>
      </c>
    </row>
    <row r="200" spans="1:42">
      <c r="A200" s="61" t="str">
        <f>'[5]TS BYDem'!A139</f>
        <v/>
      </c>
      <c r="B200" s="225" t="s">
        <v>288</v>
      </c>
      <c r="C200" s="225" t="s">
        <v>137</v>
      </c>
      <c r="D200" s="225" t="str">
        <f>'[5]TS BYDem'!D139</f>
        <v>IFBO</v>
      </c>
      <c r="E200" s="225" t="s">
        <v>137</v>
      </c>
      <c r="F200" s="225" t="s">
        <v>137</v>
      </c>
      <c r="G200" s="225" t="s">
        <v>137</v>
      </c>
      <c r="H200" s="225" t="s">
        <v>137</v>
      </c>
      <c r="I200" s="225">
        <v>0</v>
      </c>
      <c r="J200" s="225">
        <f>INDEX('[5]TS BYDem'!$J$10:$J$203,MATCH(D200,'[5]TS BYDem'!$D$10:$D$203,0))</f>
        <v>2.6822571940841642</v>
      </c>
      <c r="K200" s="225">
        <f t="shared" ca="1" si="68"/>
        <v>2.7315231425469344</v>
      </c>
      <c r="L200" s="225">
        <f t="shared" ca="1" si="68"/>
        <v>2.7669600528447171</v>
      </c>
      <c r="M200" s="232">
        <f t="shared" si="69"/>
        <v>2.5119360000000004</v>
      </c>
      <c r="N200" s="232">
        <f t="shared" si="70"/>
        <v>2.5119360000000004</v>
      </c>
      <c r="O200" s="232">
        <f>INDEX('[5]TS BYDem'!$O$10:$O$203,MATCH(D200,'[5]TS BYDem'!$D$10:$D$203,0))</f>
        <v>2.5119360000000004</v>
      </c>
      <c r="P200" s="225">
        <f t="shared" ca="1" si="68"/>
        <v>2.5291428001226874</v>
      </c>
      <c r="Q200" s="225">
        <f t="shared" ca="1" si="68"/>
        <v>2.5093678208772112</v>
      </c>
      <c r="R200" s="225">
        <f t="shared" ca="1" si="68"/>
        <v>2.3830134080359886</v>
      </c>
      <c r="S200" s="225">
        <f t="shared" ca="1" si="68"/>
        <v>2.4546656055618037</v>
      </c>
      <c r="T200" s="225">
        <f t="shared" ca="1" si="68"/>
        <v>2.5201541731929251</v>
      </c>
      <c r="U200" s="225">
        <f t="shared" ca="1" si="68"/>
        <v>2.5738291168592169</v>
      </c>
      <c r="V200" s="225">
        <f t="shared" ca="1" si="68"/>
        <v>2.6241654276658828</v>
      </c>
      <c r="W200" s="225">
        <f t="shared" ca="1" si="68"/>
        <v>2.6780971892444536</v>
      </c>
      <c r="X200" s="225">
        <f t="shared" ca="1" si="68"/>
        <v>2.7520607479807793</v>
      </c>
      <c r="Y200" s="225">
        <f t="shared" ca="1" si="68"/>
        <v>2.8224288559452</v>
      </c>
      <c r="Z200" s="225">
        <f t="shared" ca="1" si="68"/>
        <v>2.8930537818218998</v>
      </c>
      <c r="AA200" s="225">
        <f t="shared" ca="1" si="71"/>
        <v>2.9590559852775788</v>
      </c>
      <c r="AB200" s="225">
        <f t="shared" ca="1" si="71"/>
        <v>3.0263422782946527</v>
      </c>
      <c r="AC200" s="225">
        <f t="shared" ca="1" si="71"/>
        <v>3.0931149354871685</v>
      </c>
      <c r="AD200" s="225">
        <f t="shared" ca="1" si="71"/>
        <v>3.155008052346385</v>
      </c>
      <c r="AE200" s="225">
        <f t="shared" ca="1" si="71"/>
        <v>3.2222943453634594</v>
      </c>
      <c r="AF200" s="225">
        <f t="shared" ca="1" si="71"/>
        <v>3.2926624533278805</v>
      </c>
      <c r="AG200" s="225">
        <f t="shared" ca="1" si="71"/>
        <v>3.3645714687659747</v>
      </c>
      <c r="AH200" s="225">
        <f t="shared" ca="1" si="71"/>
        <v>3.4444418394847158</v>
      </c>
      <c r="AI200" s="225">
        <f t="shared" ca="1" si="71"/>
        <v>3.5268803893262457</v>
      </c>
      <c r="AJ200" s="225">
        <f t="shared" ca="1" si="71"/>
        <v>3.6080348496063803</v>
      </c>
      <c r="AK200" s="225">
        <f t="shared" ca="1" si="71"/>
        <v>3.6909870352724674</v>
      </c>
      <c r="AL200" s="225">
        <f t="shared" ca="1" si="71"/>
        <v>3.7775346717104594</v>
      </c>
      <c r="AM200" s="225">
        <f t="shared" ca="1" si="71"/>
        <v>4.2120705792863715</v>
      </c>
      <c r="AN200" s="225">
        <f t="shared" ca="1" si="71"/>
        <v>4.7354654845107857</v>
      </c>
      <c r="AO200" s="225">
        <f t="shared" ca="1" si="71"/>
        <v>5.6785864643696815</v>
      </c>
      <c r="AP200" s="225">
        <f t="shared" ca="1" si="71"/>
        <v>6.6365172771700136</v>
      </c>
    </row>
    <row r="201" spans="1:42">
      <c r="A201" s="61" t="str">
        <f>'[5]TS BYDem'!A140</f>
        <v/>
      </c>
      <c r="B201" s="225" t="s">
        <v>288</v>
      </c>
      <c r="C201" s="225" t="s">
        <v>137</v>
      </c>
      <c r="D201" s="225" t="str">
        <f>'[5]TS BYDem'!D140</f>
        <v>IFBE</v>
      </c>
      <c r="E201" s="225" t="s">
        <v>137</v>
      </c>
      <c r="F201" s="225" t="s">
        <v>137</v>
      </c>
      <c r="G201" s="225" t="s">
        <v>137</v>
      </c>
      <c r="H201" s="225" t="s">
        <v>137</v>
      </c>
      <c r="I201" s="225">
        <v>0</v>
      </c>
      <c r="J201" s="225">
        <f>INDEX('[5]TS BYDem'!$J$10:$J$203,MATCH(D201,'[5]TS BYDem'!$D$10:$D$203,0))</f>
        <v>0</v>
      </c>
      <c r="K201" s="225">
        <f t="shared" ca="1" si="68"/>
        <v>0</v>
      </c>
      <c r="L201" s="225">
        <f t="shared" ca="1" si="68"/>
        <v>0</v>
      </c>
      <c r="M201" s="232">
        <f t="shared" si="69"/>
        <v>0</v>
      </c>
      <c r="N201" s="232">
        <f t="shared" si="70"/>
        <v>0</v>
      </c>
      <c r="O201" s="232">
        <f>INDEX('[5]TS BYDem'!$O$10:$O$203,MATCH(D201,'[5]TS BYDem'!$D$10:$D$203,0))</f>
        <v>0</v>
      </c>
      <c r="P201" s="225">
        <f t="shared" ca="1" si="68"/>
        <v>0</v>
      </c>
      <c r="Q201" s="225">
        <f t="shared" ca="1" si="68"/>
        <v>0</v>
      </c>
      <c r="R201" s="225">
        <f t="shared" ca="1" si="68"/>
        <v>0</v>
      </c>
      <c r="S201" s="225">
        <f t="shared" ca="1" si="68"/>
        <v>0</v>
      </c>
      <c r="T201" s="225">
        <f t="shared" ca="1" si="68"/>
        <v>0</v>
      </c>
      <c r="U201" s="225">
        <f t="shared" ca="1" si="68"/>
        <v>0</v>
      </c>
      <c r="V201" s="225">
        <f t="shared" ca="1" si="68"/>
        <v>0</v>
      </c>
      <c r="W201" s="225">
        <f t="shared" ca="1" si="68"/>
        <v>0</v>
      </c>
      <c r="X201" s="225">
        <f t="shared" ca="1" si="68"/>
        <v>0</v>
      </c>
      <c r="Y201" s="225">
        <f t="shared" ca="1" si="68"/>
        <v>0</v>
      </c>
      <c r="Z201" s="225">
        <f t="shared" ca="1" si="68"/>
        <v>0</v>
      </c>
      <c r="AA201" s="225">
        <f t="shared" ca="1" si="71"/>
        <v>0</v>
      </c>
      <c r="AB201" s="225">
        <f t="shared" ca="1" si="71"/>
        <v>0</v>
      </c>
      <c r="AC201" s="225">
        <f t="shared" ca="1" si="71"/>
        <v>0</v>
      </c>
      <c r="AD201" s="225">
        <f t="shared" ca="1" si="71"/>
        <v>0</v>
      </c>
      <c r="AE201" s="225">
        <f t="shared" ca="1" si="71"/>
        <v>0</v>
      </c>
      <c r="AF201" s="225">
        <f t="shared" ca="1" si="71"/>
        <v>0</v>
      </c>
      <c r="AG201" s="225">
        <f t="shared" ca="1" si="71"/>
        <v>0</v>
      </c>
      <c r="AH201" s="225">
        <f t="shared" ca="1" si="71"/>
        <v>0</v>
      </c>
      <c r="AI201" s="225">
        <f t="shared" ca="1" si="71"/>
        <v>0</v>
      </c>
      <c r="AJ201" s="225">
        <f t="shared" ca="1" si="71"/>
        <v>0</v>
      </c>
      <c r="AK201" s="225">
        <f t="shared" ca="1" si="71"/>
        <v>0</v>
      </c>
      <c r="AL201" s="225">
        <f t="shared" ca="1" si="71"/>
        <v>0</v>
      </c>
      <c r="AM201" s="225">
        <f t="shared" ca="1" si="71"/>
        <v>0</v>
      </c>
      <c r="AN201" s="225">
        <f t="shared" ca="1" si="71"/>
        <v>0</v>
      </c>
      <c r="AO201" s="225">
        <f t="shared" ca="1" si="71"/>
        <v>0</v>
      </c>
      <c r="AP201" s="225">
        <f t="shared" ca="1" si="71"/>
        <v>0</v>
      </c>
    </row>
    <row r="202" spans="1:42">
      <c r="A202" s="61" t="str">
        <f>'[5]TS BYDem'!A141</f>
        <v>*</v>
      </c>
      <c r="B202" s="225" t="s">
        <v>288</v>
      </c>
      <c r="C202" s="225" t="s">
        <v>137</v>
      </c>
      <c r="D202" s="225" t="str">
        <f>'[5]TS BYDem'!D141</f>
        <v xml:space="preserve"> </v>
      </c>
      <c r="E202" s="225" t="s">
        <v>137</v>
      </c>
      <c r="F202" s="225" t="s">
        <v>137</v>
      </c>
      <c r="G202" s="225" t="s">
        <v>137</v>
      </c>
      <c r="H202" s="225" t="s">
        <v>137</v>
      </c>
      <c r="I202" s="225">
        <v>0</v>
      </c>
      <c r="J202" s="225" t="str">
        <f>INDEX('[5]TS BYDem'!$J$10:$J$203,MATCH(D202,'[5]TS BYDem'!$D$10:$D$203,0))</f>
        <v/>
      </c>
      <c r="K202" s="225" t="e">
        <f t="shared" ca="1" si="68"/>
        <v>#VALUE!</v>
      </c>
      <c r="L202" s="225" t="e">
        <f t="shared" ca="1" si="68"/>
        <v>#VALUE!</v>
      </c>
      <c r="M202" s="225" t="e">
        <f t="shared" ca="1" si="68"/>
        <v>#VALUE!</v>
      </c>
      <c r="N202" s="225" t="e">
        <f t="shared" ca="1" si="68"/>
        <v>#VALUE!</v>
      </c>
      <c r="O202" s="225" t="e">
        <f t="shared" ca="1" si="68"/>
        <v>#VALUE!</v>
      </c>
      <c r="P202" s="225" t="e">
        <f t="shared" ca="1" si="68"/>
        <v>#VALUE!</v>
      </c>
      <c r="Q202" s="225" t="e">
        <f t="shared" ca="1" si="68"/>
        <v>#VALUE!</v>
      </c>
      <c r="R202" s="225" t="e">
        <f t="shared" ca="1" si="68"/>
        <v>#VALUE!</v>
      </c>
      <c r="S202" s="225" t="e">
        <f t="shared" ca="1" si="68"/>
        <v>#VALUE!</v>
      </c>
      <c r="T202" s="225" t="e">
        <f t="shared" ca="1" si="68"/>
        <v>#VALUE!</v>
      </c>
      <c r="U202" s="225" t="e">
        <f t="shared" ca="1" si="68"/>
        <v>#VALUE!</v>
      </c>
      <c r="V202" s="225" t="e">
        <f t="shared" ca="1" si="68"/>
        <v>#VALUE!</v>
      </c>
      <c r="W202" s="225" t="e">
        <f t="shared" ca="1" si="68"/>
        <v>#VALUE!</v>
      </c>
      <c r="X202" s="225" t="e">
        <f t="shared" ca="1" si="68"/>
        <v>#VALUE!</v>
      </c>
      <c r="Y202" s="225" t="e">
        <f t="shared" ca="1" si="68"/>
        <v>#VALUE!</v>
      </c>
      <c r="Z202" s="225" t="e">
        <f t="shared" ca="1" si="68"/>
        <v>#VALUE!</v>
      </c>
      <c r="AA202" s="225" t="e">
        <f t="shared" ca="1" si="71"/>
        <v>#VALUE!</v>
      </c>
      <c r="AB202" s="225" t="e">
        <f t="shared" ca="1" si="71"/>
        <v>#VALUE!</v>
      </c>
      <c r="AC202" s="225" t="e">
        <f t="shared" ca="1" si="71"/>
        <v>#VALUE!</v>
      </c>
      <c r="AD202" s="225" t="e">
        <f t="shared" ca="1" si="71"/>
        <v>#VALUE!</v>
      </c>
      <c r="AE202" s="225" t="e">
        <f t="shared" ca="1" si="71"/>
        <v>#VALUE!</v>
      </c>
      <c r="AF202" s="225" t="e">
        <f t="shared" ca="1" si="71"/>
        <v>#VALUE!</v>
      </c>
      <c r="AG202" s="225" t="e">
        <f t="shared" ca="1" si="71"/>
        <v>#VALUE!</v>
      </c>
      <c r="AH202" s="225" t="e">
        <f t="shared" ca="1" si="71"/>
        <v>#VALUE!</v>
      </c>
      <c r="AI202" s="225" t="e">
        <f t="shared" ca="1" si="71"/>
        <v>#VALUE!</v>
      </c>
      <c r="AJ202" s="225" t="e">
        <f t="shared" ca="1" si="71"/>
        <v>#VALUE!</v>
      </c>
      <c r="AK202" s="225" t="e">
        <f t="shared" ca="1" si="71"/>
        <v>#VALUE!</v>
      </c>
      <c r="AL202" s="225" t="e">
        <f t="shared" ca="1" si="71"/>
        <v>#VALUE!</v>
      </c>
      <c r="AM202" s="225" t="e">
        <f t="shared" ca="1" si="71"/>
        <v>#VALUE!</v>
      </c>
      <c r="AN202" s="225" t="e">
        <f t="shared" ca="1" si="71"/>
        <v>#VALUE!</v>
      </c>
      <c r="AO202" s="225" t="e">
        <f t="shared" ca="1" si="71"/>
        <v>#VALUE!</v>
      </c>
      <c r="AP202" s="225" t="e">
        <f t="shared" ca="1" si="71"/>
        <v>#VALUE!</v>
      </c>
    </row>
    <row r="203" spans="1:42">
      <c r="A203" s="61" t="str">
        <f>'[5]TS BYDem'!A142</f>
        <v/>
      </c>
      <c r="B203" s="225" t="s">
        <v>288</v>
      </c>
      <c r="C203" s="225" t="s">
        <v>137</v>
      </c>
      <c r="D203" s="225" t="str">
        <f>'[5]TS BYDem'!D142</f>
        <v>IFBS</v>
      </c>
      <c r="E203" s="225" t="s">
        <v>137</v>
      </c>
      <c r="F203" s="225" t="s">
        <v>137</v>
      </c>
      <c r="G203" s="225" t="s">
        <v>137</v>
      </c>
      <c r="H203" s="225" t="s">
        <v>137</v>
      </c>
      <c r="I203" s="225">
        <v>0</v>
      </c>
      <c r="J203" s="225">
        <f>INDEX('[5]TS BYDem'!$J$10:$J$203,MATCH(D203,'[5]TS BYDem'!$D$10:$D$203,0))</f>
        <v>20.421862032418336</v>
      </c>
      <c r="K203" s="225">
        <f t="shared" ca="1" si="68"/>
        <v>20.79695745750357</v>
      </c>
      <c r="L203" s="225">
        <f t="shared" ca="1" si="68"/>
        <v>21.066762938705232</v>
      </c>
      <c r="M203" s="232">
        <f t="shared" ref="M203" si="72">O203</f>
        <v>6.8922304000000008</v>
      </c>
      <c r="N203" s="232">
        <f t="shared" ref="N203" si="73">O203</f>
        <v>6.8922304000000008</v>
      </c>
      <c r="O203" s="232">
        <f>INDEX('[5]TS BYDem'!$O$10:$O$203,MATCH(D203,'[5]TS BYDem'!$D$10:$D$203,0))</f>
        <v>6.8922304000000008</v>
      </c>
      <c r="P203" s="225">
        <f t="shared" ca="1" si="68"/>
        <v>6.9394422839382486</v>
      </c>
      <c r="Q203" s="225">
        <f t="shared" ca="1" si="68"/>
        <v>6.8851838501584703</v>
      </c>
      <c r="R203" s="225">
        <f t="shared" ca="1" si="68"/>
        <v>6.5384935979552194</v>
      </c>
      <c r="S203" s="225">
        <f t="shared" ca="1" si="68"/>
        <v>6.7350923385338914</v>
      </c>
      <c r="T203" s="225">
        <f t="shared" ca="1" si="68"/>
        <v>6.9147793594928935</v>
      </c>
      <c r="U203" s="225">
        <f t="shared" ca="1" si="68"/>
        <v>7.0620522511808606</v>
      </c>
      <c r="V203" s="225">
        <f t="shared" ca="1" si="68"/>
        <v>7.2001646280748384</v>
      </c>
      <c r="W203" s="225">
        <f t="shared" ca="1" si="68"/>
        <v>7.3481421747469575</v>
      </c>
      <c r="X203" s="225">
        <f t="shared" ca="1" si="68"/>
        <v>7.551082810183007</v>
      </c>
      <c r="Y203" s="225">
        <f t="shared" ca="1" si="68"/>
        <v>7.7441582758409151</v>
      </c>
      <c r="Z203" s="225">
        <f t="shared" ca="1" si="68"/>
        <v>7.9379383964829771</v>
      </c>
      <c r="AA203" s="225">
        <f t="shared" ca="1" si="71"/>
        <v>8.1190347274102841</v>
      </c>
      <c r="AB203" s="225">
        <f t="shared" ca="1" si="71"/>
        <v>8.3036543332583559</v>
      </c>
      <c r="AC203" s="225">
        <f t="shared" ca="1" si="71"/>
        <v>8.4868646291381218</v>
      </c>
      <c r="AD203" s="225">
        <f t="shared" ca="1" si="71"/>
        <v>8.6566864803189816</v>
      </c>
      <c r="AE203" s="225">
        <f t="shared" ca="1" si="71"/>
        <v>8.8413060861670552</v>
      </c>
      <c r="AF203" s="225">
        <f t="shared" ca="1" si="71"/>
        <v>9.0343815518249642</v>
      </c>
      <c r="AG203" s="225">
        <f t="shared" ca="1" si="71"/>
        <v>9.2316849473877891</v>
      </c>
      <c r="AH203" s="225">
        <f t="shared" ca="1" si="71"/>
        <v>9.4508326474593574</v>
      </c>
      <c r="AI203" s="225">
        <f t="shared" ca="1" si="71"/>
        <v>9.6770268973724551</v>
      </c>
      <c r="AJ203" s="225">
        <f t="shared" ca="1" si="71"/>
        <v>9.8996978723647864</v>
      </c>
      <c r="AK203" s="225">
        <f t="shared" ca="1" si="71"/>
        <v>10.127301432246188</v>
      </c>
      <c r="AL203" s="225">
        <f t="shared" ca="1" si="71"/>
        <v>10.364770161905732</v>
      </c>
      <c r="AM203" s="225">
        <f t="shared" ca="1" si="71"/>
        <v>11.55704639509252</v>
      </c>
      <c r="AN203" s="225">
        <f t="shared" ca="1" si="71"/>
        <v>12.99313325279623</v>
      </c>
      <c r="AO203" s="225">
        <f t="shared" ca="1" si="71"/>
        <v>15.580861239600539</v>
      </c>
      <c r="AP203" s="225">
        <f t="shared" ca="1" si="71"/>
        <v>18.209224330491054</v>
      </c>
    </row>
    <row r="204" spans="1:42">
      <c r="A204" s="61" t="str">
        <f>'[5]TS BYDem'!A143</f>
        <v>*</v>
      </c>
      <c r="B204" s="225" t="s">
        <v>288</v>
      </c>
      <c r="C204" s="225" t="s">
        <v>137</v>
      </c>
      <c r="D204" s="225" t="str">
        <f>'[5]TS BYDem'!D143</f>
        <v>IFBS</v>
      </c>
      <c r="E204" s="225" t="s">
        <v>137</v>
      </c>
      <c r="F204" s="225" t="s">
        <v>137</v>
      </c>
      <c r="G204" s="225" t="s">
        <v>137</v>
      </c>
      <c r="H204" s="225" t="s">
        <v>137</v>
      </c>
      <c r="I204" s="225">
        <v>0</v>
      </c>
      <c r="J204" s="225">
        <f>INDEX('[5]TS BYDem'!$J$10:$J$203,MATCH(D204,'[5]TS BYDem'!$D$10:$D$203,0))</f>
        <v>20.421862032418336</v>
      </c>
      <c r="K204" s="225">
        <f t="shared" ca="1" si="68"/>
        <v>20.79695745750357</v>
      </c>
      <c r="L204" s="225">
        <f t="shared" ca="1" si="68"/>
        <v>21.066762938705232</v>
      </c>
      <c r="M204" s="225">
        <f t="shared" ca="1" si="68"/>
        <v>21.086504803183399</v>
      </c>
      <c r="N204" s="225">
        <f t="shared" ca="1" si="68"/>
        <v>21.373858608365659</v>
      </c>
      <c r="O204" s="225">
        <f t="shared" ca="1" si="68"/>
        <v>21.455019606775917</v>
      </c>
      <c r="P204" s="225">
        <f t="shared" ca="1" si="68"/>
        <v>21.601986820113407</v>
      </c>
      <c r="Q204" s="225">
        <f t="shared" ca="1" si="68"/>
        <v>21.43308420180017</v>
      </c>
      <c r="R204" s="225">
        <f t="shared" ca="1" si="68"/>
        <v>20.353862276993532</v>
      </c>
      <c r="S204" s="225">
        <f t="shared" ca="1" si="68"/>
        <v>20.965860075816806</v>
      </c>
      <c r="T204" s="225">
        <f t="shared" ca="1" si="68"/>
        <v>21.525212902698296</v>
      </c>
      <c r="U204" s="225">
        <f t="shared" ca="1" si="68"/>
        <v>21.983662866691361</v>
      </c>
      <c r="V204" s="225">
        <f t="shared" ca="1" si="68"/>
        <v>22.41359680421596</v>
      </c>
      <c r="W204" s="225">
        <f t="shared" ca="1" si="68"/>
        <v>22.874240308706597</v>
      </c>
      <c r="X204" s="225">
        <f t="shared" ca="1" si="68"/>
        <v>23.505979972008046</v>
      </c>
      <c r="Y204" s="225">
        <f t="shared" ca="1" si="68"/>
        <v>24.107010068343449</v>
      </c>
      <c r="Z204" s="225">
        <f t="shared" ca="1" si="68"/>
        <v>24.710233705176432</v>
      </c>
      <c r="AA204" s="225">
        <f t="shared" ca="1" si="71"/>
        <v>25.273973613053066</v>
      </c>
      <c r="AB204" s="225">
        <f t="shared" ca="1" si="71"/>
        <v>25.848681223417575</v>
      </c>
      <c r="AC204" s="225">
        <f t="shared" ca="1" si="71"/>
        <v>26.419001752786937</v>
      </c>
      <c r="AD204" s="225">
        <f t="shared" ca="1" si="71"/>
        <v>26.947645012702385</v>
      </c>
      <c r="AE204" s="225">
        <f t="shared" ca="1" si="71"/>
        <v>27.522352623066897</v>
      </c>
      <c r="AF204" s="225">
        <f t="shared" ca="1" si="71"/>
        <v>28.123382719402308</v>
      </c>
      <c r="AG204" s="225">
        <f t="shared" ca="1" si="71"/>
        <v>28.737574058723158</v>
      </c>
      <c r="AH204" s="225">
        <f t="shared" ca="1" si="71"/>
        <v>29.419765153468823</v>
      </c>
      <c r="AI204" s="225">
        <f t="shared" ca="1" si="71"/>
        <v>30.123891653190231</v>
      </c>
      <c r="AJ204" s="225">
        <f t="shared" ca="1" si="71"/>
        <v>30.817050450423764</v>
      </c>
      <c r="AK204" s="225">
        <f t="shared" ca="1" si="71"/>
        <v>31.525564031140316</v>
      </c>
      <c r="AL204" s="225">
        <f t="shared" ca="1" si="71"/>
        <v>32.264787178822914</v>
      </c>
      <c r="AM204" s="225">
        <f t="shared" ca="1" si="71"/>
        <v>35.976257700718918</v>
      </c>
      <c r="AN204" s="225">
        <f t="shared" ca="1" si="71"/>
        <v>40.446693234775687</v>
      </c>
      <c r="AO204" s="225">
        <f t="shared" ca="1" si="71"/>
        <v>48.502105122034884</v>
      </c>
      <c r="AP204" s="225">
        <f t="shared" ca="1" si="71"/>
        <v>56.684011177987706</v>
      </c>
    </row>
    <row r="205" spans="1:42">
      <c r="A205" s="61" t="str">
        <f>'[5]TS BYDem'!A144</f>
        <v>*</v>
      </c>
      <c r="B205" s="225" t="s">
        <v>288</v>
      </c>
      <c r="C205" s="225" t="s">
        <v>137</v>
      </c>
      <c r="D205" s="225" t="str">
        <f>'[5]TS BYDem'!D144</f>
        <v>IFBS</v>
      </c>
      <c r="E205" s="225" t="s">
        <v>137</v>
      </c>
      <c r="F205" s="225" t="s">
        <v>137</v>
      </c>
      <c r="G205" s="225" t="s">
        <v>137</v>
      </c>
      <c r="H205" s="225" t="s">
        <v>137</v>
      </c>
      <c r="I205" s="225">
        <v>0</v>
      </c>
      <c r="J205" s="225">
        <f>INDEX('[5]TS BYDem'!$J$10:$J$203,MATCH(D205,'[5]TS BYDem'!$D$10:$D$203,0))</f>
        <v>20.421862032418336</v>
      </c>
      <c r="K205" s="225">
        <f t="shared" ca="1" si="68"/>
        <v>20.79695745750357</v>
      </c>
      <c r="L205" s="225">
        <f t="shared" ca="1" si="68"/>
        <v>21.066762938705232</v>
      </c>
      <c r="M205" s="225">
        <f t="shared" ca="1" si="68"/>
        <v>21.086504803183399</v>
      </c>
      <c r="N205" s="225">
        <f t="shared" ca="1" si="68"/>
        <v>21.373858608365659</v>
      </c>
      <c r="O205" s="225">
        <f t="shared" ca="1" si="68"/>
        <v>21.455019606775917</v>
      </c>
      <c r="P205" s="225">
        <f t="shared" ca="1" si="68"/>
        <v>21.601986820113407</v>
      </c>
      <c r="Q205" s="225">
        <f t="shared" ca="1" si="68"/>
        <v>21.43308420180017</v>
      </c>
      <c r="R205" s="225">
        <f t="shared" ca="1" si="68"/>
        <v>20.353862276993532</v>
      </c>
      <c r="S205" s="225">
        <f t="shared" ca="1" si="68"/>
        <v>20.965860075816806</v>
      </c>
      <c r="T205" s="225">
        <f t="shared" ca="1" si="68"/>
        <v>21.525212902698296</v>
      </c>
      <c r="U205" s="225">
        <f t="shared" ca="1" si="68"/>
        <v>21.983662866691361</v>
      </c>
      <c r="V205" s="225">
        <f t="shared" ca="1" si="68"/>
        <v>22.41359680421596</v>
      </c>
      <c r="W205" s="225">
        <f t="shared" ca="1" si="68"/>
        <v>22.874240308706597</v>
      </c>
      <c r="X205" s="225">
        <f t="shared" ca="1" si="68"/>
        <v>23.505979972008046</v>
      </c>
      <c r="Y205" s="225">
        <f t="shared" ca="1" si="68"/>
        <v>24.107010068343449</v>
      </c>
      <c r="Z205" s="225">
        <f t="shared" ca="1" si="68"/>
        <v>24.710233705176432</v>
      </c>
      <c r="AA205" s="225">
        <f t="shared" ca="1" si="71"/>
        <v>25.273973613053066</v>
      </c>
      <c r="AB205" s="225">
        <f t="shared" ca="1" si="71"/>
        <v>25.848681223417575</v>
      </c>
      <c r="AC205" s="225">
        <f t="shared" ca="1" si="71"/>
        <v>26.419001752786937</v>
      </c>
      <c r="AD205" s="225">
        <f t="shared" ca="1" si="71"/>
        <v>26.947645012702385</v>
      </c>
      <c r="AE205" s="225">
        <f t="shared" ca="1" si="71"/>
        <v>27.522352623066897</v>
      </c>
      <c r="AF205" s="225">
        <f t="shared" ca="1" si="71"/>
        <v>28.123382719402308</v>
      </c>
      <c r="AG205" s="225">
        <f t="shared" ca="1" si="71"/>
        <v>28.737574058723158</v>
      </c>
      <c r="AH205" s="225">
        <f t="shared" ca="1" si="71"/>
        <v>29.419765153468823</v>
      </c>
      <c r="AI205" s="225">
        <f t="shared" ca="1" si="71"/>
        <v>30.123891653190231</v>
      </c>
      <c r="AJ205" s="225">
        <f t="shared" ca="1" si="71"/>
        <v>30.817050450423764</v>
      </c>
      <c r="AK205" s="225">
        <f t="shared" ca="1" si="71"/>
        <v>31.525564031140316</v>
      </c>
      <c r="AL205" s="225">
        <f t="shared" ca="1" si="71"/>
        <v>32.264787178822914</v>
      </c>
      <c r="AM205" s="225">
        <f t="shared" ca="1" si="71"/>
        <v>35.976257700718918</v>
      </c>
      <c r="AN205" s="225">
        <f t="shared" ca="1" si="71"/>
        <v>40.446693234775687</v>
      </c>
      <c r="AO205" s="225">
        <f t="shared" ca="1" si="71"/>
        <v>48.502105122034884</v>
      </c>
      <c r="AP205" s="225">
        <f t="shared" ca="1" si="71"/>
        <v>56.684011177987706</v>
      </c>
    </row>
    <row r="206" spans="1:42">
      <c r="A206" s="61" t="str">
        <f>'[5]TS BYDem'!A145</f>
        <v>*</v>
      </c>
      <c r="B206" s="225" t="s">
        <v>288</v>
      </c>
      <c r="C206" s="225" t="s">
        <v>137</v>
      </c>
      <c r="D206" s="225" t="str">
        <f>'[5]TS BYDem'!D145</f>
        <v>IFBS</v>
      </c>
      <c r="E206" s="225" t="s">
        <v>137</v>
      </c>
      <c r="F206" s="225" t="s">
        <v>137</v>
      </c>
      <c r="G206" s="225" t="s">
        <v>137</v>
      </c>
      <c r="H206" s="225" t="s">
        <v>137</v>
      </c>
      <c r="I206" s="225">
        <v>0</v>
      </c>
      <c r="J206" s="225">
        <f>INDEX('[5]TS BYDem'!$J$10:$J$203,MATCH(D206,'[5]TS BYDem'!$D$10:$D$203,0))</f>
        <v>20.421862032418336</v>
      </c>
      <c r="K206" s="225">
        <f t="shared" ca="1" si="68"/>
        <v>20.79695745750357</v>
      </c>
      <c r="L206" s="225">
        <f t="shared" ca="1" si="68"/>
        <v>21.066762938705232</v>
      </c>
      <c r="M206" s="225">
        <f t="shared" ca="1" si="68"/>
        <v>21.086504803183399</v>
      </c>
      <c r="N206" s="225">
        <f t="shared" ca="1" si="68"/>
        <v>21.373858608365659</v>
      </c>
      <c r="O206" s="225">
        <f t="shared" ca="1" si="68"/>
        <v>21.455019606775917</v>
      </c>
      <c r="P206" s="225">
        <f t="shared" ca="1" si="68"/>
        <v>21.601986820113407</v>
      </c>
      <c r="Q206" s="225">
        <f t="shared" ca="1" si="68"/>
        <v>21.43308420180017</v>
      </c>
      <c r="R206" s="225">
        <f t="shared" ca="1" si="68"/>
        <v>20.353862276993532</v>
      </c>
      <c r="S206" s="225">
        <f t="shared" ca="1" si="68"/>
        <v>20.965860075816806</v>
      </c>
      <c r="T206" s="225">
        <f t="shared" ca="1" si="68"/>
        <v>21.525212902698296</v>
      </c>
      <c r="U206" s="225">
        <f t="shared" ca="1" si="68"/>
        <v>21.983662866691361</v>
      </c>
      <c r="V206" s="225">
        <f t="shared" ca="1" si="68"/>
        <v>22.41359680421596</v>
      </c>
      <c r="W206" s="225">
        <f t="shared" ca="1" si="68"/>
        <v>22.874240308706597</v>
      </c>
      <c r="X206" s="225">
        <f t="shared" ca="1" si="68"/>
        <v>23.505979972008046</v>
      </c>
      <c r="Y206" s="225">
        <f t="shared" ca="1" si="68"/>
        <v>24.107010068343449</v>
      </c>
      <c r="Z206" s="225">
        <f t="shared" ca="1" si="68"/>
        <v>24.710233705176432</v>
      </c>
      <c r="AA206" s="225">
        <f t="shared" ca="1" si="71"/>
        <v>25.273973613053066</v>
      </c>
      <c r="AB206" s="225">
        <f t="shared" ca="1" si="71"/>
        <v>25.848681223417575</v>
      </c>
      <c r="AC206" s="225">
        <f t="shared" ca="1" si="71"/>
        <v>26.419001752786937</v>
      </c>
      <c r="AD206" s="225">
        <f t="shared" ca="1" si="71"/>
        <v>26.947645012702385</v>
      </c>
      <c r="AE206" s="225">
        <f t="shared" ca="1" si="71"/>
        <v>27.522352623066897</v>
      </c>
      <c r="AF206" s="225">
        <f t="shared" ca="1" si="71"/>
        <v>28.123382719402308</v>
      </c>
      <c r="AG206" s="225">
        <f t="shared" ca="1" si="71"/>
        <v>28.737574058723158</v>
      </c>
      <c r="AH206" s="225">
        <f t="shared" ca="1" si="71"/>
        <v>29.419765153468823</v>
      </c>
      <c r="AI206" s="225">
        <f t="shared" ca="1" si="71"/>
        <v>30.123891653190231</v>
      </c>
      <c r="AJ206" s="225">
        <f t="shared" ca="1" si="71"/>
        <v>30.817050450423764</v>
      </c>
      <c r="AK206" s="225">
        <f t="shared" ca="1" si="71"/>
        <v>31.525564031140316</v>
      </c>
      <c r="AL206" s="225">
        <f t="shared" ca="1" si="71"/>
        <v>32.264787178822914</v>
      </c>
      <c r="AM206" s="225">
        <f t="shared" ca="1" si="71"/>
        <v>35.976257700718918</v>
      </c>
      <c r="AN206" s="225">
        <f t="shared" ca="1" si="71"/>
        <v>40.446693234775687</v>
      </c>
      <c r="AO206" s="225">
        <f t="shared" ca="1" si="71"/>
        <v>48.502105122034884</v>
      </c>
      <c r="AP206" s="225">
        <f t="shared" ca="1" si="71"/>
        <v>56.684011177987706</v>
      </c>
    </row>
    <row r="207" spans="1:42">
      <c r="A207" s="61" t="str">
        <f>'[5]TS BYDem'!A146</f>
        <v>*</v>
      </c>
      <c r="B207" s="225" t="s">
        <v>288</v>
      </c>
      <c r="C207" s="225" t="s">
        <v>137</v>
      </c>
      <c r="D207" s="225" t="str">
        <f>'[5]TS BYDem'!D146</f>
        <v>IFBS</v>
      </c>
      <c r="E207" s="225" t="s">
        <v>137</v>
      </c>
      <c r="F207" s="225" t="s">
        <v>137</v>
      </c>
      <c r="G207" s="225" t="s">
        <v>137</v>
      </c>
      <c r="H207" s="225" t="s">
        <v>137</v>
      </c>
      <c r="I207" s="225">
        <v>0</v>
      </c>
      <c r="J207" s="225">
        <f>INDEX('[5]TS BYDem'!$J$10:$J$203,MATCH(D207,'[5]TS BYDem'!$D$10:$D$203,0))</f>
        <v>20.421862032418336</v>
      </c>
      <c r="K207" s="225">
        <f t="shared" ca="1" si="68"/>
        <v>20.79695745750357</v>
      </c>
      <c r="L207" s="225">
        <f t="shared" ca="1" si="68"/>
        <v>21.066762938705232</v>
      </c>
      <c r="M207" s="225">
        <f t="shared" ca="1" si="68"/>
        <v>21.086504803183399</v>
      </c>
      <c r="N207" s="225">
        <f t="shared" ca="1" si="68"/>
        <v>21.373858608365659</v>
      </c>
      <c r="O207" s="225">
        <f t="shared" ca="1" si="68"/>
        <v>21.455019606775917</v>
      </c>
      <c r="P207" s="225">
        <f t="shared" ca="1" si="68"/>
        <v>21.601986820113407</v>
      </c>
      <c r="Q207" s="225">
        <f t="shared" ca="1" si="68"/>
        <v>21.43308420180017</v>
      </c>
      <c r="R207" s="225">
        <f t="shared" ca="1" si="68"/>
        <v>20.353862276993532</v>
      </c>
      <c r="S207" s="225">
        <f t="shared" ca="1" si="68"/>
        <v>20.965860075816806</v>
      </c>
      <c r="T207" s="225">
        <f t="shared" ca="1" si="68"/>
        <v>21.525212902698296</v>
      </c>
      <c r="U207" s="225">
        <f t="shared" ca="1" si="68"/>
        <v>21.983662866691361</v>
      </c>
      <c r="V207" s="225">
        <f t="shared" ca="1" si="68"/>
        <v>22.41359680421596</v>
      </c>
      <c r="W207" s="225">
        <f t="shared" ca="1" si="68"/>
        <v>22.874240308706597</v>
      </c>
      <c r="X207" s="225">
        <f t="shared" ca="1" si="68"/>
        <v>23.505979972008046</v>
      </c>
      <c r="Y207" s="225">
        <f t="shared" ca="1" si="68"/>
        <v>24.107010068343449</v>
      </c>
      <c r="Z207" s="225">
        <f t="shared" ca="1" si="68"/>
        <v>24.710233705176432</v>
      </c>
      <c r="AA207" s="225">
        <f t="shared" ca="1" si="71"/>
        <v>25.273973613053066</v>
      </c>
      <c r="AB207" s="225">
        <f t="shared" ca="1" si="71"/>
        <v>25.848681223417575</v>
      </c>
      <c r="AC207" s="225">
        <f t="shared" ca="1" si="71"/>
        <v>26.419001752786937</v>
      </c>
      <c r="AD207" s="225">
        <f t="shared" ca="1" si="71"/>
        <v>26.947645012702385</v>
      </c>
      <c r="AE207" s="225">
        <f t="shared" ca="1" si="71"/>
        <v>27.522352623066897</v>
      </c>
      <c r="AF207" s="225">
        <f t="shared" ca="1" si="71"/>
        <v>28.123382719402308</v>
      </c>
      <c r="AG207" s="225">
        <f t="shared" ca="1" si="71"/>
        <v>28.737574058723158</v>
      </c>
      <c r="AH207" s="225">
        <f t="shared" ca="1" si="71"/>
        <v>29.419765153468823</v>
      </c>
      <c r="AI207" s="225">
        <f t="shared" ca="1" si="71"/>
        <v>30.123891653190231</v>
      </c>
      <c r="AJ207" s="225">
        <f t="shared" ca="1" si="71"/>
        <v>30.817050450423764</v>
      </c>
      <c r="AK207" s="225">
        <f t="shared" ca="1" si="71"/>
        <v>31.525564031140316</v>
      </c>
      <c r="AL207" s="225">
        <f t="shared" ca="1" si="71"/>
        <v>32.264787178822914</v>
      </c>
      <c r="AM207" s="225">
        <f t="shared" ca="1" si="71"/>
        <v>35.976257700718918</v>
      </c>
      <c r="AN207" s="225">
        <f t="shared" ca="1" si="71"/>
        <v>40.446693234775687</v>
      </c>
      <c r="AO207" s="225">
        <f t="shared" ca="1" si="71"/>
        <v>48.502105122034884</v>
      </c>
      <c r="AP207" s="225">
        <f t="shared" ca="1" si="71"/>
        <v>56.684011177987706</v>
      </c>
    </row>
    <row r="208" spans="1:42">
      <c r="A208" s="61" t="str">
        <f>'[5]TS BYDem'!A147</f>
        <v>*</v>
      </c>
      <c r="B208" s="225" t="s">
        <v>288</v>
      </c>
      <c r="C208" s="225" t="s">
        <v>137</v>
      </c>
      <c r="D208" s="225" t="str">
        <f>'[5]TS BYDem'!D147</f>
        <v>IFBS</v>
      </c>
      <c r="E208" s="225" t="s">
        <v>137</v>
      </c>
      <c r="F208" s="225" t="s">
        <v>137</v>
      </c>
      <c r="G208" s="225" t="s">
        <v>137</v>
      </c>
      <c r="H208" s="225" t="s">
        <v>137</v>
      </c>
      <c r="I208" s="225">
        <v>0</v>
      </c>
      <c r="J208" s="225">
        <f>INDEX('[5]TS BYDem'!$J$10:$J$203,MATCH(D208,'[5]TS BYDem'!$D$10:$D$203,0))</f>
        <v>20.421862032418336</v>
      </c>
      <c r="K208" s="225">
        <f t="shared" ca="1" si="68"/>
        <v>20.79695745750357</v>
      </c>
      <c r="L208" s="225">
        <f t="shared" ca="1" si="68"/>
        <v>21.066762938705232</v>
      </c>
      <c r="M208" s="225">
        <f t="shared" ca="1" si="68"/>
        <v>21.086504803183399</v>
      </c>
      <c r="N208" s="225">
        <f t="shared" ca="1" si="68"/>
        <v>21.373858608365659</v>
      </c>
      <c r="O208" s="225">
        <f t="shared" ca="1" si="68"/>
        <v>21.455019606775917</v>
      </c>
      <c r="P208" s="225">
        <f t="shared" ca="1" si="68"/>
        <v>21.601986820113407</v>
      </c>
      <c r="Q208" s="225">
        <f t="shared" ca="1" si="68"/>
        <v>21.43308420180017</v>
      </c>
      <c r="R208" s="225">
        <f t="shared" ca="1" si="68"/>
        <v>20.353862276993532</v>
      </c>
      <c r="S208" s="225">
        <f t="shared" ca="1" si="68"/>
        <v>20.965860075816806</v>
      </c>
      <c r="T208" s="225">
        <f t="shared" ca="1" si="68"/>
        <v>21.525212902698296</v>
      </c>
      <c r="U208" s="225">
        <f t="shared" ca="1" si="68"/>
        <v>21.983662866691361</v>
      </c>
      <c r="V208" s="225">
        <f t="shared" ca="1" si="68"/>
        <v>22.41359680421596</v>
      </c>
      <c r="W208" s="225">
        <f t="shared" ca="1" si="68"/>
        <v>22.874240308706597</v>
      </c>
      <c r="X208" s="225">
        <f t="shared" ca="1" si="68"/>
        <v>23.505979972008046</v>
      </c>
      <c r="Y208" s="225">
        <f t="shared" ca="1" si="68"/>
        <v>24.107010068343449</v>
      </c>
      <c r="Z208" s="225">
        <f t="shared" ca="1" si="68"/>
        <v>24.710233705176432</v>
      </c>
      <c r="AA208" s="225">
        <f t="shared" ca="1" si="71"/>
        <v>25.273973613053066</v>
      </c>
      <c r="AB208" s="225">
        <f t="shared" ca="1" si="71"/>
        <v>25.848681223417575</v>
      </c>
      <c r="AC208" s="225">
        <f t="shared" ca="1" si="71"/>
        <v>26.419001752786937</v>
      </c>
      <c r="AD208" s="225">
        <f t="shared" ca="1" si="71"/>
        <v>26.947645012702385</v>
      </c>
      <c r="AE208" s="225">
        <f t="shared" ca="1" si="71"/>
        <v>27.522352623066897</v>
      </c>
      <c r="AF208" s="225">
        <f t="shared" ca="1" si="71"/>
        <v>28.123382719402308</v>
      </c>
      <c r="AG208" s="225">
        <f t="shared" ca="1" si="71"/>
        <v>28.737574058723158</v>
      </c>
      <c r="AH208" s="225">
        <f t="shared" ca="1" si="71"/>
        <v>29.419765153468823</v>
      </c>
      <c r="AI208" s="225">
        <f t="shared" ca="1" si="71"/>
        <v>30.123891653190231</v>
      </c>
      <c r="AJ208" s="225">
        <f t="shared" ca="1" si="71"/>
        <v>30.817050450423764</v>
      </c>
      <c r="AK208" s="225">
        <f t="shared" ca="1" si="71"/>
        <v>31.525564031140316</v>
      </c>
      <c r="AL208" s="225">
        <f t="shared" ca="1" si="71"/>
        <v>32.264787178822914</v>
      </c>
      <c r="AM208" s="225">
        <f t="shared" ca="1" si="71"/>
        <v>35.976257700718918</v>
      </c>
      <c r="AN208" s="225">
        <f t="shared" ca="1" si="71"/>
        <v>40.446693234775687</v>
      </c>
      <c r="AO208" s="225">
        <f t="shared" ca="1" si="71"/>
        <v>48.502105122034884</v>
      </c>
      <c r="AP208" s="225">
        <f t="shared" ref="AP208" ca="1" si="74">AP$192/AO$192*AO208</f>
        <v>56.684011177987706</v>
      </c>
    </row>
    <row r="209" spans="1:42">
      <c r="A209" s="61" t="str">
        <f>'[5]TS BYDem'!A148</f>
        <v>*</v>
      </c>
      <c r="B209" s="225" t="s">
        <v>288</v>
      </c>
      <c r="C209" s="225" t="s">
        <v>137</v>
      </c>
      <c r="D209" s="225" t="str">
        <f>'[5]TS BYDem'!D148</f>
        <v>IFBS</v>
      </c>
      <c r="E209" s="225" t="s">
        <v>137</v>
      </c>
      <c r="F209" s="225" t="s">
        <v>137</v>
      </c>
      <c r="G209" s="225" t="s">
        <v>137</v>
      </c>
      <c r="H209" s="225" t="s">
        <v>137</v>
      </c>
      <c r="I209" s="225">
        <v>0</v>
      </c>
      <c r="J209" s="225">
        <f>INDEX('[5]TS BYDem'!$J$10:$J$203,MATCH(D209,'[5]TS BYDem'!$D$10:$D$203,0))</f>
        <v>20.421862032418336</v>
      </c>
    </row>
    <row r="210" spans="1:42">
      <c r="A210" s="61" t="str">
        <f>'[5]TS BYDem'!A149</f>
        <v>*</v>
      </c>
      <c r="B210" s="225" t="s">
        <v>288</v>
      </c>
      <c r="C210" s="225" t="s">
        <v>137</v>
      </c>
      <c r="D210" s="225" t="str">
        <f>'[5]TS BYDem'!D149</f>
        <v>Useful Energy Service</v>
      </c>
      <c r="E210" s="225" t="s">
        <v>137</v>
      </c>
      <c r="F210" s="225" t="s">
        <v>137</v>
      </c>
      <c r="G210" s="225" t="s">
        <v>137</v>
      </c>
      <c r="H210" s="225" t="s">
        <v>137</v>
      </c>
      <c r="I210" s="225">
        <v>0</v>
      </c>
      <c r="J210" s="225" t="str">
        <f>INDEX('[5]TS BYDem'!$J$10:$J$203,MATCH(D210,'[5]TS BYDem'!$D$10:$D$203,0))</f>
        <v/>
      </c>
    </row>
    <row r="211" spans="1:42" s="5" customFormat="1">
      <c r="A211" s="61" t="str">
        <f>'[5]TS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61" t="str">
        <f>'[5]TS BYDem'!A151</f>
        <v>*</v>
      </c>
      <c r="B212" s="225" t="s">
        <v>288</v>
      </c>
      <c r="C212" s="225" t="s">
        <v>137</v>
      </c>
      <c r="D212" s="225">
        <f>'[5]TS BYDem'!D151</f>
        <v>2</v>
      </c>
      <c r="E212" s="225" t="s">
        <v>137</v>
      </c>
      <c r="F212" s="225" t="s">
        <v>137</v>
      </c>
      <c r="G212" s="225" t="s">
        <v>137</v>
      </c>
      <c r="H212" s="225" t="s">
        <v>137</v>
      </c>
      <c r="I212" s="225">
        <v>0</v>
      </c>
      <c r="J212" s="225" t="str">
        <f>INDEX('[5]TS BYDem'!$J$10:$J$203,MATCH(D212,'[5]TS BYDem'!$D$10:$D$203,0))</f>
        <v/>
      </c>
      <c r="K212" s="225" t="e">
        <f t="shared" ref="K212:Z227" ca="1" si="76">K$211/J$211*J212</f>
        <v>#VALUE!</v>
      </c>
      <c r="L212" s="225" t="e">
        <f t="shared" ca="1" si="76"/>
        <v>#VALUE!</v>
      </c>
      <c r="M212" s="225" t="e">
        <f t="shared" ca="1" si="76"/>
        <v>#VALUE!</v>
      </c>
      <c r="N212" s="225" t="e">
        <f t="shared" ca="1" si="76"/>
        <v>#VALUE!</v>
      </c>
      <c r="O212" s="225" t="e">
        <f t="shared" ca="1" si="76"/>
        <v>#VALUE!</v>
      </c>
      <c r="P212" s="225" t="e">
        <f t="shared" ca="1" si="76"/>
        <v>#VALUE!</v>
      </c>
      <c r="Q212" s="225" t="e">
        <f t="shared" ca="1" si="76"/>
        <v>#VALUE!</v>
      </c>
      <c r="R212" s="225" t="e">
        <f t="shared" ca="1" si="76"/>
        <v>#VALUE!</v>
      </c>
      <c r="S212" s="225" t="e">
        <f t="shared" ca="1" si="76"/>
        <v>#VALUE!</v>
      </c>
      <c r="T212" s="225" t="e">
        <f t="shared" ca="1" si="76"/>
        <v>#VALUE!</v>
      </c>
      <c r="U212" s="225" t="e">
        <f t="shared" ca="1" si="76"/>
        <v>#VALUE!</v>
      </c>
      <c r="V212" s="225" t="e">
        <f t="shared" ca="1" si="76"/>
        <v>#VALUE!</v>
      </c>
      <c r="W212" s="225" t="e">
        <f t="shared" ca="1" si="76"/>
        <v>#VALUE!</v>
      </c>
      <c r="X212" s="225" t="e">
        <f t="shared" ca="1" si="76"/>
        <v>#VALUE!</v>
      </c>
      <c r="Y212" s="225" t="e">
        <f t="shared" ca="1" si="76"/>
        <v>#VALUE!</v>
      </c>
      <c r="Z212" s="225" t="e">
        <f t="shared" ca="1" si="76"/>
        <v>#VALUE!</v>
      </c>
      <c r="AA212" s="225" t="e">
        <f t="shared" ref="AA212:AP227" ca="1" si="77">AA$211/Z$211*Z212</f>
        <v>#VALUE!</v>
      </c>
      <c r="AB212" s="225" t="e">
        <f t="shared" ca="1" si="77"/>
        <v>#VALUE!</v>
      </c>
      <c r="AC212" s="225" t="e">
        <f t="shared" ca="1" si="77"/>
        <v>#VALUE!</v>
      </c>
      <c r="AD212" s="225" t="e">
        <f t="shared" ca="1" si="77"/>
        <v>#VALUE!</v>
      </c>
      <c r="AE212" s="225" t="e">
        <f t="shared" ca="1" si="77"/>
        <v>#VALUE!</v>
      </c>
      <c r="AF212" s="225" t="e">
        <f t="shared" ca="1" si="77"/>
        <v>#VALUE!</v>
      </c>
      <c r="AG212" s="225" t="e">
        <f t="shared" ca="1" si="77"/>
        <v>#VALUE!</v>
      </c>
      <c r="AH212" s="225" t="e">
        <f t="shared" ca="1" si="77"/>
        <v>#VALUE!</v>
      </c>
      <c r="AI212" s="225" t="e">
        <f t="shared" ca="1" si="77"/>
        <v>#VALUE!</v>
      </c>
      <c r="AJ212" s="225" t="e">
        <f t="shared" ca="1" si="77"/>
        <v>#VALUE!</v>
      </c>
      <c r="AK212" s="225" t="e">
        <f t="shared" ca="1" si="77"/>
        <v>#VALUE!</v>
      </c>
      <c r="AL212" s="225" t="e">
        <f t="shared" ca="1" si="77"/>
        <v>#VALUE!</v>
      </c>
      <c r="AM212" s="225" t="e">
        <f t="shared" ca="1" si="77"/>
        <v>#VALUE!</v>
      </c>
      <c r="AN212" s="225" t="e">
        <f t="shared" ca="1" si="77"/>
        <v>#VALUE!</v>
      </c>
      <c r="AO212" s="225" t="e">
        <f t="shared" ca="1" si="77"/>
        <v>#VALUE!</v>
      </c>
      <c r="AP212" s="225" t="e">
        <f t="shared" ca="1" si="77"/>
        <v>#VALUE!</v>
      </c>
    </row>
    <row r="213" spans="1:42">
      <c r="A213" s="61" t="str">
        <f>'[5]TS BYDem'!A152</f>
        <v>*</v>
      </c>
      <c r="B213" s="225" t="s">
        <v>288</v>
      </c>
      <c r="C213" s="225" t="s">
        <v>137</v>
      </c>
      <c r="D213" s="225" t="str">
        <f>'[5]TS BYDem'!D152</f>
        <v>IPPK</v>
      </c>
      <c r="E213" s="225" t="s">
        <v>137</v>
      </c>
      <c r="F213" s="225" t="s">
        <v>137</v>
      </c>
      <c r="G213" s="225" t="s">
        <v>137</v>
      </c>
      <c r="H213" s="225" t="s">
        <v>137</v>
      </c>
      <c r="I213" s="225">
        <v>0</v>
      </c>
      <c r="J213" s="225" t="str">
        <f>INDEX('[5]TS BYDem'!$J$10:$J$203,MATCH(D213,'[5]TS BYDem'!$D$10:$D$203,0))</f>
        <v/>
      </c>
      <c r="K213" s="225" t="e">
        <f t="shared" ca="1" si="76"/>
        <v>#VALUE!</v>
      </c>
      <c r="L213" s="225" t="e">
        <f t="shared" ca="1" si="76"/>
        <v>#VALUE!</v>
      </c>
      <c r="M213" s="225" t="e">
        <f t="shared" ca="1" si="76"/>
        <v>#VALUE!</v>
      </c>
      <c r="N213" s="225" t="e">
        <f t="shared" ca="1" si="76"/>
        <v>#VALUE!</v>
      </c>
      <c r="O213" s="225" t="e">
        <f t="shared" ca="1" si="76"/>
        <v>#VALUE!</v>
      </c>
      <c r="P213" s="225" t="e">
        <f t="shared" ca="1" si="76"/>
        <v>#VALUE!</v>
      </c>
      <c r="Q213" s="225" t="e">
        <f t="shared" ca="1" si="76"/>
        <v>#VALUE!</v>
      </c>
      <c r="R213" s="225" t="e">
        <f t="shared" ca="1" si="76"/>
        <v>#VALUE!</v>
      </c>
      <c r="S213" s="225" t="e">
        <f t="shared" ca="1" si="76"/>
        <v>#VALUE!</v>
      </c>
      <c r="T213" s="225" t="e">
        <f t="shared" ca="1" si="76"/>
        <v>#VALUE!</v>
      </c>
      <c r="U213" s="225" t="e">
        <f t="shared" ca="1" si="76"/>
        <v>#VALUE!</v>
      </c>
      <c r="V213" s="225" t="e">
        <f t="shared" ca="1" si="76"/>
        <v>#VALUE!</v>
      </c>
      <c r="W213" s="225" t="e">
        <f t="shared" ca="1" si="76"/>
        <v>#VALUE!</v>
      </c>
      <c r="X213" s="225" t="e">
        <f t="shared" ca="1" si="76"/>
        <v>#VALUE!</v>
      </c>
      <c r="Y213" s="225" t="e">
        <f t="shared" ca="1" si="76"/>
        <v>#VALUE!</v>
      </c>
      <c r="Z213" s="225" t="e">
        <f t="shared" ca="1" si="76"/>
        <v>#VALUE!</v>
      </c>
      <c r="AA213" s="225" t="e">
        <f t="shared" ca="1" si="77"/>
        <v>#VALUE!</v>
      </c>
      <c r="AB213" s="225" t="e">
        <f t="shared" ca="1" si="77"/>
        <v>#VALUE!</v>
      </c>
      <c r="AC213" s="225" t="e">
        <f t="shared" ca="1" si="77"/>
        <v>#VALUE!</v>
      </c>
      <c r="AD213" s="225" t="e">
        <f t="shared" ca="1" si="77"/>
        <v>#VALUE!</v>
      </c>
      <c r="AE213" s="225" t="e">
        <f t="shared" ca="1" si="77"/>
        <v>#VALUE!</v>
      </c>
      <c r="AF213" s="225" t="e">
        <f t="shared" ca="1" si="77"/>
        <v>#VALUE!</v>
      </c>
      <c r="AG213" s="225" t="e">
        <f t="shared" ca="1" si="77"/>
        <v>#VALUE!</v>
      </c>
      <c r="AH213" s="225" t="e">
        <f t="shared" ca="1" si="77"/>
        <v>#VALUE!</v>
      </c>
      <c r="AI213" s="225" t="e">
        <f t="shared" ca="1" si="77"/>
        <v>#VALUE!</v>
      </c>
      <c r="AJ213" s="225" t="e">
        <f t="shared" ca="1" si="77"/>
        <v>#VALUE!</v>
      </c>
      <c r="AK213" s="225" t="e">
        <f t="shared" ca="1" si="77"/>
        <v>#VALUE!</v>
      </c>
      <c r="AL213" s="225" t="e">
        <f t="shared" ca="1" si="77"/>
        <v>#VALUE!</v>
      </c>
      <c r="AM213" s="225" t="e">
        <f t="shared" ca="1" si="77"/>
        <v>#VALUE!</v>
      </c>
      <c r="AN213" s="225" t="e">
        <f t="shared" ca="1" si="77"/>
        <v>#VALUE!</v>
      </c>
      <c r="AO213" s="225" t="e">
        <f t="shared" ca="1" si="77"/>
        <v>#VALUE!</v>
      </c>
      <c r="AP213" s="225" t="e">
        <f t="shared" ca="1" si="77"/>
        <v>#VALUE!</v>
      </c>
    </row>
    <row r="214" spans="1:42">
      <c r="A214" s="61" t="str">
        <f>'[5]TS BYDem'!A153</f>
        <v>*</v>
      </c>
      <c r="B214" s="225" t="s">
        <v>288</v>
      </c>
      <c r="C214" s="225" t="s">
        <v>137</v>
      </c>
      <c r="D214" s="225" t="str">
        <f>'[5]TS BYDem'!D153</f>
        <v>IPPA</v>
      </c>
      <c r="E214" s="225" t="s">
        <v>137</v>
      </c>
      <c r="F214" s="225" t="s">
        <v>137</v>
      </c>
      <c r="G214" s="225" t="s">
        <v>137</v>
      </c>
      <c r="H214" s="225" t="s">
        <v>137</v>
      </c>
      <c r="I214" s="225">
        <v>0</v>
      </c>
      <c r="J214" s="225" t="str">
        <f>INDEX('[5]TS BYDem'!$J$10:$J$203,MATCH(D214,'[5]TS BYDem'!$D$10:$D$203,0))</f>
        <v/>
      </c>
      <c r="K214" s="225" t="e">
        <f t="shared" ca="1" si="76"/>
        <v>#VALUE!</v>
      </c>
      <c r="L214" s="225" t="e">
        <f t="shared" ca="1" si="76"/>
        <v>#VALUE!</v>
      </c>
      <c r="M214" s="225" t="e">
        <f t="shared" ca="1" si="76"/>
        <v>#VALUE!</v>
      </c>
      <c r="N214" s="225" t="e">
        <f t="shared" ca="1" si="76"/>
        <v>#VALUE!</v>
      </c>
      <c r="O214" s="225" t="e">
        <f t="shared" ca="1" si="76"/>
        <v>#VALUE!</v>
      </c>
      <c r="P214" s="225" t="e">
        <f t="shared" ca="1" si="76"/>
        <v>#VALUE!</v>
      </c>
      <c r="Q214" s="225" t="e">
        <f t="shared" ca="1" si="76"/>
        <v>#VALUE!</v>
      </c>
      <c r="R214" s="225" t="e">
        <f t="shared" ca="1" si="76"/>
        <v>#VALUE!</v>
      </c>
      <c r="S214" s="225" t="e">
        <f t="shared" ca="1" si="76"/>
        <v>#VALUE!</v>
      </c>
      <c r="T214" s="225" t="e">
        <f t="shared" ca="1" si="76"/>
        <v>#VALUE!</v>
      </c>
      <c r="U214" s="225" t="e">
        <f t="shared" ca="1" si="76"/>
        <v>#VALUE!</v>
      </c>
      <c r="V214" s="225" t="e">
        <f t="shared" ca="1" si="76"/>
        <v>#VALUE!</v>
      </c>
      <c r="W214" s="225" t="e">
        <f t="shared" ca="1" si="76"/>
        <v>#VALUE!</v>
      </c>
      <c r="X214" s="225" t="e">
        <f t="shared" ca="1" si="76"/>
        <v>#VALUE!</v>
      </c>
      <c r="Y214" s="225" t="e">
        <f t="shared" ca="1" si="76"/>
        <v>#VALUE!</v>
      </c>
      <c r="Z214" s="225" t="e">
        <f t="shared" ca="1" si="76"/>
        <v>#VALUE!</v>
      </c>
      <c r="AA214" s="225" t="e">
        <f t="shared" ca="1" si="77"/>
        <v>#VALUE!</v>
      </c>
      <c r="AB214" s="225" t="e">
        <f t="shared" ca="1" si="77"/>
        <v>#VALUE!</v>
      </c>
      <c r="AC214" s="225" t="e">
        <f t="shared" ca="1" si="77"/>
        <v>#VALUE!</v>
      </c>
      <c r="AD214" s="225" t="e">
        <f t="shared" ca="1" si="77"/>
        <v>#VALUE!</v>
      </c>
      <c r="AE214" s="225" t="e">
        <f t="shared" ca="1" si="77"/>
        <v>#VALUE!</v>
      </c>
      <c r="AF214" s="225" t="e">
        <f t="shared" ca="1" si="77"/>
        <v>#VALUE!</v>
      </c>
      <c r="AG214" s="225" t="e">
        <f t="shared" ca="1" si="77"/>
        <v>#VALUE!</v>
      </c>
      <c r="AH214" s="225" t="e">
        <f t="shared" ca="1" si="77"/>
        <v>#VALUE!</v>
      </c>
      <c r="AI214" s="225" t="e">
        <f t="shared" ca="1" si="77"/>
        <v>#VALUE!</v>
      </c>
      <c r="AJ214" s="225" t="e">
        <f t="shared" ca="1" si="77"/>
        <v>#VALUE!</v>
      </c>
      <c r="AK214" s="225" t="e">
        <f t="shared" ca="1" si="77"/>
        <v>#VALUE!</v>
      </c>
      <c r="AL214" s="225" t="e">
        <f t="shared" ca="1" si="77"/>
        <v>#VALUE!</v>
      </c>
      <c r="AM214" s="225" t="e">
        <f t="shared" ca="1" si="77"/>
        <v>#VALUE!</v>
      </c>
      <c r="AN214" s="225" t="e">
        <f t="shared" ca="1" si="77"/>
        <v>#VALUE!</v>
      </c>
      <c r="AO214" s="225" t="e">
        <f t="shared" ca="1" si="77"/>
        <v>#VALUE!</v>
      </c>
      <c r="AP214" s="225" t="e">
        <f t="shared" ca="1" si="77"/>
        <v>#VALUE!</v>
      </c>
    </row>
    <row r="215" spans="1:42">
      <c r="A215" s="61" t="str">
        <f>'[5]TS BYDem'!A154</f>
        <v>*</v>
      </c>
      <c r="B215" s="225" t="s">
        <v>288</v>
      </c>
      <c r="C215" s="225" t="s">
        <v>137</v>
      </c>
      <c r="D215" s="225" t="str">
        <f>'[5]TS BYDem'!D154</f>
        <v>IPPL</v>
      </c>
      <c r="E215" s="225" t="s">
        <v>137</v>
      </c>
      <c r="F215" s="225" t="s">
        <v>137</v>
      </c>
      <c r="G215" s="225" t="s">
        <v>137</v>
      </c>
      <c r="H215" s="225" t="s">
        <v>137</v>
      </c>
      <c r="I215" s="225">
        <v>0</v>
      </c>
      <c r="J215" s="225" t="str">
        <f>INDEX('[5]TS BYDem'!$J$10:$J$203,MATCH(D215,'[5]TS BYDem'!$D$10:$D$203,0))</f>
        <v/>
      </c>
      <c r="K215" s="225" t="e">
        <f t="shared" ca="1" si="76"/>
        <v>#VALUE!</v>
      </c>
      <c r="L215" s="225" t="e">
        <f t="shared" ca="1" si="76"/>
        <v>#VALUE!</v>
      </c>
      <c r="M215" s="225" t="e">
        <f t="shared" ca="1" si="76"/>
        <v>#VALUE!</v>
      </c>
      <c r="N215" s="225" t="e">
        <f t="shared" ca="1" si="76"/>
        <v>#VALUE!</v>
      </c>
      <c r="O215" s="225" t="e">
        <f t="shared" ca="1" si="76"/>
        <v>#VALUE!</v>
      </c>
      <c r="P215" s="225" t="e">
        <f t="shared" ca="1" si="76"/>
        <v>#VALUE!</v>
      </c>
      <c r="Q215" s="225" t="e">
        <f t="shared" ca="1" si="76"/>
        <v>#VALUE!</v>
      </c>
      <c r="R215" s="225" t="e">
        <f t="shared" ca="1" si="76"/>
        <v>#VALUE!</v>
      </c>
      <c r="S215" s="225" t="e">
        <f t="shared" ca="1" si="76"/>
        <v>#VALUE!</v>
      </c>
      <c r="T215" s="225" t="e">
        <f t="shared" ca="1" si="76"/>
        <v>#VALUE!</v>
      </c>
      <c r="U215" s="225" t="e">
        <f t="shared" ca="1" si="76"/>
        <v>#VALUE!</v>
      </c>
      <c r="V215" s="225" t="e">
        <f t="shared" ca="1" si="76"/>
        <v>#VALUE!</v>
      </c>
      <c r="W215" s="225" t="e">
        <f t="shared" ca="1" si="76"/>
        <v>#VALUE!</v>
      </c>
      <c r="X215" s="225" t="e">
        <f t="shared" ca="1" si="76"/>
        <v>#VALUE!</v>
      </c>
      <c r="Y215" s="225" t="e">
        <f t="shared" ca="1" si="76"/>
        <v>#VALUE!</v>
      </c>
      <c r="Z215" s="225" t="e">
        <f t="shared" ca="1" si="76"/>
        <v>#VALUE!</v>
      </c>
      <c r="AA215" s="225" t="e">
        <f t="shared" ca="1" si="77"/>
        <v>#VALUE!</v>
      </c>
      <c r="AB215" s="225" t="e">
        <f t="shared" ca="1" si="77"/>
        <v>#VALUE!</v>
      </c>
      <c r="AC215" s="225" t="e">
        <f t="shared" ca="1" si="77"/>
        <v>#VALUE!</v>
      </c>
      <c r="AD215" s="225" t="e">
        <f t="shared" ca="1" si="77"/>
        <v>#VALUE!</v>
      </c>
      <c r="AE215" s="225" t="e">
        <f t="shared" ca="1" si="77"/>
        <v>#VALUE!</v>
      </c>
      <c r="AF215" s="225" t="e">
        <f t="shared" ca="1" si="77"/>
        <v>#VALUE!</v>
      </c>
      <c r="AG215" s="225" t="e">
        <f t="shared" ca="1" si="77"/>
        <v>#VALUE!</v>
      </c>
      <c r="AH215" s="225" t="e">
        <f t="shared" ca="1" si="77"/>
        <v>#VALUE!</v>
      </c>
      <c r="AI215" s="225" t="e">
        <f t="shared" ca="1" si="77"/>
        <v>#VALUE!</v>
      </c>
      <c r="AJ215" s="225" t="e">
        <f t="shared" ca="1" si="77"/>
        <v>#VALUE!</v>
      </c>
      <c r="AK215" s="225" t="e">
        <f t="shared" ca="1" si="77"/>
        <v>#VALUE!</v>
      </c>
      <c r="AL215" s="225" t="e">
        <f t="shared" ca="1" si="77"/>
        <v>#VALUE!</v>
      </c>
      <c r="AM215" s="225" t="e">
        <f t="shared" ca="1" si="77"/>
        <v>#VALUE!</v>
      </c>
      <c r="AN215" s="225" t="e">
        <f t="shared" ca="1" si="77"/>
        <v>#VALUE!</v>
      </c>
      <c r="AO215" s="225" t="e">
        <f t="shared" ca="1" si="77"/>
        <v>#VALUE!</v>
      </c>
      <c r="AP215" s="225" t="e">
        <f t="shared" ca="1" si="77"/>
        <v>#VALUE!</v>
      </c>
    </row>
    <row r="216" spans="1:42">
      <c r="A216" s="61" t="str">
        <f>'[5]TS BYDem'!A155</f>
        <v>*</v>
      </c>
      <c r="B216" s="225" t="s">
        <v>288</v>
      </c>
      <c r="C216" s="225" t="s">
        <v>137</v>
      </c>
      <c r="D216" s="225" t="str">
        <f>'[5]TS BYDem'!D155</f>
        <v>IPPC</v>
      </c>
      <c r="E216" s="225" t="s">
        <v>137</v>
      </c>
      <c r="F216" s="225" t="s">
        <v>137</v>
      </c>
      <c r="G216" s="225" t="s">
        <v>137</v>
      </c>
      <c r="H216" s="225" t="s">
        <v>137</v>
      </c>
      <c r="I216" s="225">
        <v>0</v>
      </c>
      <c r="J216" s="225" t="str">
        <f>INDEX('[5]TS BYDem'!$J$10:$J$203,MATCH(D216,'[5]TS BYDem'!$D$10:$D$203,0))</f>
        <v/>
      </c>
      <c r="K216" s="225" t="e">
        <f t="shared" ca="1" si="76"/>
        <v>#VALUE!</v>
      </c>
      <c r="L216" s="225" t="e">
        <f t="shared" ca="1" si="76"/>
        <v>#VALUE!</v>
      </c>
      <c r="M216" s="225" t="e">
        <f t="shared" ca="1" si="76"/>
        <v>#VALUE!</v>
      </c>
      <c r="N216" s="225" t="e">
        <f t="shared" ca="1" si="76"/>
        <v>#VALUE!</v>
      </c>
      <c r="O216" s="225" t="e">
        <f t="shared" ca="1" si="76"/>
        <v>#VALUE!</v>
      </c>
      <c r="P216" s="225" t="e">
        <f t="shared" ca="1" si="76"/>
        <v>#VALUE!</v>
      </c>
      <c r="Q216" s="225" t="e">
        <f t="shared" ca="1" si="76"/>
        <v>#VALUE!</v>
      </c>
      <c r="R216" s="225" t="e">
        <f t="shared" ca="1" si="76"/>
        <v>#VALUE!</v>
      </c>
      <c r="S216" s="225" t="e">
        <f t="shared" ca="1" si="76"/>
        <v>#VALUE!</v>
      </c>
      <c r="T216" s="225" t="e">
        <f t="shared" ca="1" si="76"/>
        <v>#VALUE!</v>
      </c>
      <c r="U216" s="225" t="e">
        <f t="shared" ca="1" si="76"/>
        <v>#VALUE!</v>
      </c>
      <c r="V216" s="225" t="e">
        <f t="shared" ca="1" si="76"/>
        <v>#VALUE!</v>
      </c>
      <c r="W216" s="225" t="e">
        <f t="shared" ca="1" si="76"/>
        <v>#VALUE!</v>
      </c>
      <c r="X216" s="225" t="e">
        <f t="shared" ca="1" si="76"/>
        <v>#VALUE!</v>
      </c>
      <c r="Y216" s="225" t="e">
        <f t="shared" ca="1" si="76"/>
        <v>#VALUE!</v>
      </c>
      <c r="Z216" s="225" t="e">
        <f t="shared" ca="1" si="76"/>
        <v>#VALUE!</v>
      </c>
      <c r="AA216" s="225" t="e">
        <f t="shared" ca="1" si="77"/>
        <v>#VALUE!</v>
      </c>
      <c r="AB216" s="225" t="e">
        <f t="shared" ca="1" si="77"/>
        <v>#VALUE!</v>
      </c>
      <c r="AC216" s="225" t="e">
        <f t="shared" ca="1" si="77"/>
        <v>#VALUE!</v>
      </c>
      <c r="AD216" s="225" t="e">
        <f t="shared" ca="1" si="77"/>
        <v>#VALUE!</v>
      </c>
      <c r="AE216" s="225" t="e">
        <f t="shared" ca="1" si="77"/>
        <v>#VALUE!</v>
      </c>
      <c r="AF216" s="225" t="e">
        <f t="shared" ca="1" si="77"/>
        <v>#VALUE!</v>
      </c>
      <c r="AG216" s="225" t="e">
        <f t="shared" ca="1" si="77"/>
        <v>#VALUE!</v>
      </c>
      <c r="AH216" s="225" t="e">
        <f t="shared" ca="1" si="77"/>
        <v>#VALUE!</v>
      </c>
      <c r="AI216" s="225" t="e">
        <f t="shared" ca="1" si="77"/>
        <v>#VALUE!</v>
      </c>
      <c r="AJ216" s="225" t="e">
        <f t="shared" ca="1" si="77"/>
        <v>#VALUE!</v>
      </c>
      <c r="AK216" s="225" t="e">
        <f t="shared" ca="1" si="77"/>
        <v>#VALUE!</v>
      </c>
      <c r="AL216" s="225" t="e">
        <f t="shared" ca="1" si="77"/>
        <v>#VALUE!</v>
      </c>
      <c r="AM216" s="225" t="e">
        <f t="shared" ca="1" si="77"/>
        <v>#VALUE!</v>
      </c>
      <c r="AN216" s="225" t="e">
        <f t="shared" ca="1" si="77"/>
        <v>#VALUE!</v>
      </c>
      <c r="AO216" s="225" t="e">
        <f t="shared" ca="1" si="77"/>
        <v>#VALUE!</v>
      </c>
      <c r="AP216" s="225" t="e">
        <f t="shared" ca="1" si="77"/>
        <v>#VALUE!</v>
      </c>
    </row>
    <row r="217" spans="1:42">
      <c r="A217" s="61" t="str">
        <f>'[5]TS BYDem'!A156</f>
        <v>*</v>
      </c>
      <c r="B217" s="225" t="s">
        <v>288</v>
      </c>
      <c r="C217" s="225" t="s">
        <v>137</v>
      </c>
      <c r="D217" s="225" t="str">
        <f>'[5]TS BYDem'!D156</f>
        <v>IPPH</v>
      </c>
      <c r="E217" s="225" t="s">
        <v>137</v>
      </c>
      <c r="F217" s="225" t="s">
        <v>137</v>
      </c>
      <c r="G217" s="225" t="s">
        <v>137</v>
      </c>
      <c r="H217" s="225" t="s">
        <v>137</v>
      </c>
      <c r="I217" s="225">
        <v>0</v>
      </c>
      <c r="J217" s="225" t="str">
        <f>INDEX('[5]TS BYDem'!$J$10:$J$203,MATCH(D217,'[5]TS BYDem'!$D$10:$D$203,0))</f>
        <v/>
      </c>
      <c r="K217" s="225" t="e">
        <f t="shared" ca="1" si="76"/>
        <v>#VALUE!</v>
      </c>
      <c r="L217" s="225" t="e">
        <f t="shared" ca="1" si="76"/>
        <v>#VALUE!</v>
      </c>
      <c r="M217" s="225" t="e">
        <f t="shared" ca="1" si="76"/>
        <v>#VALUE!</v>
      </c>
      <c r="N217" s="225" t="e">
        <f t="shared" ca="1" si="76"/>
        <v>#VALUE!</v>
      </c>
      <c r="O217" s="225" t="e">
        <f t="shared" ca="1" si="76"/>
        <v>#VALUE!</v>
      </c>
      <c r="P217" s="225" t="e">
        <f t="shared" ca="1" si="76"/>
        <v>#VALUE!</v>
      </c>
      <c r="Q217" s="225" t="e">
        <f t="shared" ca="1" si="76"/>
        <v>#VALUE!</v>
      </c>
      <c r="R217" s="225" t="e">
        <f t="shared" ca="1" si="76"/>
        <v>#VALUE!</v>
      </c>
      <c r="S217" s="225" t="e">
        <f t="shared" ca="1" si="76"/>
        <v>#VALUE!</v>
      </c>
      <c r="T217" s="225" t="e">
        <f t="shared" ca="1" si="76"/>
        <v>#VALUE!</v>
      </c>
      <c r="U217" s="225" t="e">
        <f t="shared" ca="1" si="76"/>
        <v>#VALUE!</v>
      </c>
      <c r="V217" s="225" t="e">
        <f t="shared" ca="1" si="76"/>
        <v>#VALUE!</v>
      </c>
      <c r="W217" s="225" t="e">
        <f t="shared" ca="1" si="76"/>
        <v>#VALUE!</v>
      </c>
      <c r="X217" s="225" t="e">
        <f t="shared" ca="1" si="76"/>
        <v>#VALUE!</v>
      </c>
      <c r="Y217" s="225" t="e">
        <f t="shared" ca="1" si="76"/>
        <v>#VALUE!</v>
      </c>
      <c r="Z217" s="225" t="e">
        <f t="shared" ca="1" si="76"/>
        <v>#VALUE!</v>
      </c>
      <c r="AA217" s="225" t="e">
        <f t="shared" ca="1" si="77"/>
        <v>#VALUE!</v>
      </c>
      <c r="AB217" s="225" t="e">
        <f t="shared" ca="1" si="77"/>
        <v>#VALUE!</v>
      </c>
      <c r="AC217" s="225" t="e">
        <f t="shared" ca="1" si="77"/>
        <v>#VALUE!</v>
      </c>
      <c r="AD217" s="225" t="e">
        <f t="shared" ca="1" si="77"/>
        <v>#VALUE!</v>
      </c>
      <c r="AE217" s="225" t="e">
        <f t="shared" ca="1" si="77"/>
        <v>#VALUE!</v>
      </c>
      <c r="AF217" s="225" t="e">
        <f t="shared" ca="1" si="77"/>
        <v>#VALUE!</v>
      </c>
      <c r="AG217" s="225" t="e">
        <f t="shared" ca="1" si="77"/>
        <v>#VALUE!</v>
      </c>
      <c r="AH217" s="225" t="e">
        <f t="shared" ca="1" si="77"/>
        <v>#VALUE!</v>
      </c>
      <c r="AI217" s="225" t="e">
        <f t="shared" ca="1" si="77"/>
        <v>#VALUE!</v>
      </c>
      <c r="AJ217" s="225" t="e">
        <f t="shared" ca="1" si="77"/>
        <v>#VALUE!</v>
      </c>
      <c r="AK217" s="225" t="e">
        <f t="shared" ca="1" si="77"/>
        <v>#VALUE!</v>
      </c>
      <c r="AL217" s="225" t="e">
        <f t="shared" ca="1" si="77"/>
        <v>#VALUE!</v>
      </c>
      <c r="AM217" s="225" t="e">
        <f t="shared" ca="1" si="77"/>
        <v>#VALUE!</v>
      </c>
      <c r="AN217" s="225" t="e">
        <f t="shared" ca="1" si="77"/>
        <v>#VALUE!</v>
      </c>
      <c r="AO217" s="225" t="e">
        <f t="shared" ca="1" si="77"/>
        <v>#VALUE!</v>
      </c>
      <c r="AP217" s="225" t="e">
        <f t="shared" ca="1" si="77"/>
        <v>#VALUE!</v>
      </c>
    </row>
    <row r="218" spans="1:42">
      <c r="A218" s="61" t="str">
        <f>'[5]TS BYDem'!A157</f>
        <v>*</v>
      </c>
      <c r="B218" s="225" t="s">
        <v>288</v>
      </c>
      <c r="C218" s="225" t="s">
        <v>137</v>
      </c>
      <c r="D218" s="225" t="str">
        <f>'[5]TS BYDem'!D157</f>
        <v>IPPP</v>
      </c>
      <c r="E218" s="225" t="s">
        <v>137</v>
      </c>
      <c r="F218" s="225" t="s">
        <v>137</v>
      </c>
      <c r="G218" s="225" t="s">
        <v>137</v>
      </c>
      <c r="H218" s="225" t="s">
        <v>137</v>
      </c>
      <c r="I218" s="225">
        <v>0</v>
      </c>
      <c r="J218" s="225" t="str">
        <f>INDEX('[5]TS BYDem'!$J$10:$J$203,MATCH(D218,'[5]TS BYDem'!$D$10:$D$203,0))</f>
        <v/>
      </c>
      <c r="K218" s="225" t="e">
        <f t="shared" ca="1" si="76"/>
        <v>#VALUE!</v>
      </c>
      <c r="L218" s="225" t="e">
        <f t="shared" ca="1" si="76"/>
        <v>#VALUE!</v>
      </c>
      <c r="M218" s="225" t="e">
        <f t="shared" ca="1" si="76"/>
        <v>#VALUE!</v>
      </c>
      <c r="N218" s="225" t="e">
        <f t="shared" ca="1" si="76"/>
        <v>#VALUE!</v>
      </c>
      <c r="O218" s="225" t="e">
        <f t="shared" ca="1" si="76"/>
        <v>#VALUE!</v>
      </c>
      <c r="P218" s="225" t="e">
        <f t="shared" ca="1" si="76"/>
        <v>#VALUE!</v>
      </c>
      <c r="Q218" s="225" t="e">
        <f t="shared" ca="1" si="76"/>
        <v>#VALUE!</v>
      </c>
      <c r="R218" s="225" t="e">
        <f t="shared" ca="1" si="76"/>
        <v>#VALUE!</v>
      </c>
      <c r="S218" s="225" t="e">
        <f t="shared" ca="1" si="76"/>
        <v>#VALUE!</v>
      </c>
      <c r="T218" s="225" t="e">
        <f t="shared" ca="1" si="76"/>
        <v>#VALUE!</v>
      </c>
      <c r="U218" s="225" t="e">
        <f t="shared" ca="1" si="76"/>
        <v>#VALUE!</v>
      </c>
      <c r="V218" s="225" t="e">
        <f t="shared" ca="1" si="76"/>
        <v>#VALUE!</v>
      </c>
      <c r="W218" s="225" t="e">
        <f t="shared" ca="1" si="76"/>
        <v>#VALUE!</v>
      </c>
      <c r="X218" s="225" t="e">
        <f t="shared" ca="1" si="76"/>
        <v>#VALUE!</v>
      </c>
      <c r="Y218" s="225" t="e">
        <f t="shared" ca="1" si="76"/>
        <v>#VALUE!</v>
      </c>
      <c r="Z218" s="225" t="e">
        <f t="shared" ca="1" si="76"/>
        <v>#VALUE!</v>
      </c>
      <c r="AA218" s="225" t="e">
        <f t="shared" ca="1" si="77"/>
        <v>#VALUE!</v>
      </c>
      <c r="AB218" s="225" t="e">
        <f t="shared" ca="1" si="77"/>
        <v>#VALUE!</v>
      </c>
      <c r="AC218" s="225" t="e">
        <f t="shared" ca="1" si="77"/>
        <v>#VALUE!</v>
      </c>
      <c r="AD218" s="225" t="e">
        <f t="shared" ca="1" si="77"/>
        <v>#VALUE!</v>
      </c>
      <c r="AE218" s="225" t="e">
        <f t="shared" ca="1" si="77"/>
        <v>#VALUE!</v>
      </c>
      <c r="AF218" s="225" t="e">
        <f t="shared" ca="1" si="77"/>
        <v>#VALUE!</v>
      </c>
      <c r="AG218" s="225" t="e">
        <f t="shared" ca="1" si="77"/>
        <v>#VALUE!</v>
      </c>
      <c r="AH218" s="225" t="e">
        <f t="shared" ca="1" si="77"/>
        <v>#VALUE!</v>
      </c>
      <c r="AI218" s="225" t="e">
        <f t="shared" ca="1" si="77"/>
        <v>#VALUE!</v>
      </c>
      <c r="AJ218" s="225" t="e">
        <f t="shared" ca="1" si="77"/>
        <v>#VALUE!</v>
      </c>
      <c r="AK218" s="225" t="e">
        <f t="shared" ca="1" si="77"/>
        <v>#VALUE!</v>
      </c>
      <c r="AL218" s="225" t="e">
        <f t="shared" ca="1" si="77"/>
        <v>#VALUE!</v>
      </c>
      <c r="AM218" s="225" t="e">
        <f t="shared" ca="1" si="77"/>
        <v>#VALUE!</v>
      </c>
      <c r="AN218" s="225" t="e">
        <f t="shared" ca="1" si="77"/>
        <v>#VALUE!</v>
      </c>
      <c r="AO218" s="225" t="e">
        <f t="shared" ca="1" si="77"/>
        <v>#VALUE!</v>
      </c>
      <c r="AP218" s="225" t="e">
        <f t="shared" ca="1" si="77"/>
        <v>#VALUE!</v>
      </c>
    </row>
    <row r="219" spans="1:42">
      <c r="A219" s="61" t="str">
        <f>'[5]TS BYDem'!A158</f>
        <v>*</v>
      </c>
      <c r="B219" s="225" t="s">
        <v>288</v>
      </c>
      <c r="C219" s="225" t="s">
        <v>137</v>
      </c>
      <c r="D219" s="225" t="str">
        <f>'[5]TS BYDem'!D158</f>
        <v>IPPF</v>
      </c>
      <c r="E219" s="225" t="s">
        <v>137</v>
      </c>
      <c r="F219" s="225" t="s">
        <v>137</v>
      </c>
      <c r="G219" s="225" t="s">
        <v>137</v>
      </c>
      <c r="H219" s="225" t="s">
        <v>137</v>
      </c>
      <c r="I219" s="225">
        <v>0</v>
      </c>
      <c r="J219" s="225" t="str">
        <f>INDEX('[5]TS BYDem'!$J$10:$J$203,MATCH(D219,'[5]TS BYDem'!$D$10:$D$203,0))</f>
        <v/>
      </c>
      <c r="K219" s="225" t="e">
        <f t="shared" ca="1" si="76"/>
        <v>#VALUE!</v>
      </c>
      <c r="L219" s="225" t="e">
        <f t="shared" ca="1" si="76"/>
        <v>#VALUE!</v>
      </c>
      <c r="M219" s="225" t="e">
        <f t="shared" ca="1" si="76"/>
        <v>#VALUE!</v>
      </c>
      <c r="N219" s="225" t="e">
        <f t="shared" ca="1" si="76"/>
        <v>#VALUE!</v>
      </c>
      <c r="O219" s="225" t="e">
        <f t="shared" ca="1" si="76"/>
        <v>#VALUE!</v>
      </c>
      <c r="P219" s="225" t="e">
        <f t="shared" ca="1" si="76"/>
        <v>#VALUE!</v>
      </c>
      <c r="Q219" s="225" t="e">
        <f t="shared" ca="1" si="76"/>
        <v>#VALUE!</v>
      </c>
      <c r="R219" s="225" t="e">
        <f t="shared" ca="1" si="76"/>
        <v>#VALUE!</v>
      </c>
      <c r="S219" s="225" t="e">
        <f t="shared" ca="1" si="76"/>
        <v>#VALUE!</v>
      </c>
      <c r="T219" s="225" t="e">
        <f t="shared" ca="1" si="76"/>
        <v>#VALUE!</v>
      </c>
      <c r="U219" s="225" t="e">
        <f t="shared" ca="1" si="76"/>
        <v>#VALUE!</v>
      </c>
      <c r="V219" s="225" t="e">
        <f t="shared" ca="1" si="76"/>
        <v>#VALUE!</v>
      </c>
      <c r="W219" s="225" t="e">
        <f t="shared" ca="1" si="76"/>
        <v>#VALUE!</v>
      </c>
      <c r="X219" s="225" t="e">
        <f t="shared" ca="1" si="76"/>
        <v>#VALUE!</v>
      </c>
      <c r="Y219" s="225" t="e">
        <f t="shared" ca="1" si="76"/>
        <v>#VALUE!</v>
      </c>
      <c r="Z219" s="225" t="e">
        <f t="shared" ca="1" si="76"/>
        <v>#VALUE!</v>
      </c>
      <c r="AA219" s="225" t="e">
        <f t="shared" ca="1" si="77"/>
        <v>#VALUE!</v>
      </c>
      <c r="AB219" s="225" t="e">
        <f t="shared" ca="1" si="77"/>
        <v>#VALUE!</v>
      </c>
      <c r="AC219" s="225" t="e">
        <f t="shared" ca="1" si="77"/>
        <v>#VALUE!</v>
      </c>
      <c r="AD219" s="225" t="e">
        <f t="shared" ca="1" si="77"/>
        <v>#VALUE!</v>
      </c>
      <c r="AE219" s="225" t="e">
        <f t="shared" ca="1" si="77"/>
        <v>#VALUE!</v>
      </c>
      <c r="AF219" s="225" t="e">
        <f t="shared" ca="1" si="77"/>
        <v>#VALUE!</v>
      </c>
      <c r="AG219" s="225" t="e">
        <f t="shared" ca="1" si="77"/>
        <v>#VALUE!</v>
      </c>
      <c r="AH219" s="225" t="e">
        <f t="shared" ca="1" si="77"/>
        <v>#VALUE!</v>
      </c>
      <c r="AI219" s="225" t="e">
        <f t="shared" ca="1" si="77"/>
        <v>#VALUE!</v>
      </c>
      <c r="AJ219" s="225" t="e">
        <f t="shared" ca="1" si="77"/>
        <v>#VALUE!</v>
      </c>
      <c r="AK219" s="225" t="e">
        <f t="shared" ca="1" si="77"/>
        <v>#VALUE!</v>
      </c>
      <c r="AL219" s="225" t="e">
        <f t="shared" ca="1" si="77"/>
        <v>#VALUE!</v>
      </c>
      <c r="AM219" s="225" t="e">
        <f t="shared" ca="1" si="77"/>
        <v>#VALUE!</v>
      </c>
      <c r="AN219" s="225" t="e">
        <f t="shared" ca="1" si="77"/>
        <v>#VALUE!</v>
      </c>
      <c r="AO219" s="225" t="e">
        <f t="shared" ca="1" si="77"/>
        <v>#VALUE!</v>
      </c>
      <c r="AP219" s="225" t="e">
        <f t="shared" ca="1" si="77"/>
        <v>#VALUE!</v>
      </c>
    </row>
    <row r="220" spans="1:42">
      <c r="A220" s="61" t="str">
        <f>'[5]TS BYDem'!A159</f>
        <v>*</v>
      </c>
      <c r="B220" s="225" t="s">
        <v>288</v>
      </c>
      <c r="C220" s="225" t="s">
        <v>137</v>
      </c>
      <c r="D220" s="225" t="str">
        <f>'[5]TS BYDem'!D159</f>
        <v>IPPO</v>
      </c>
      <c r="E220" s="225" t="s">
        <v>137</v>
      </c>
      <c r="F220" s="225" t="s">
        <v>137</v>
      </c>
      <c r="G220" s="225" t="s">
        <v>137</v>
      </c>
      <c r="H220" s="225" t="s">
        <v>137</v>
      </c>
      <c r="I220" s="225">
        <v>0</v>
      </c>
      <c r="J220" s="225" t="str">
        <f>INDEX('[5]TS BYDem'!$J$10:$J$203,MATCH(D220,'[5]TS BYDem'!$D$10:$D$203,0))</f>
        <v/>
      </c>
      <c r="K220" s="225" t="e">
        <f t="shared" ca="1" si="76"/>
        <v>#VALUE!</v>
      </c>
      <c r="L220" s="225" t="e">
        <f t="shared" ca="1" si="76"/>
        <v>#VALUE!</v>
      </c>
      <c r="M220" s="225" t="e">
        <f t="shared" ca="1" si="76"/>
        <v>#VALUE!</v>
      </c>
      <c r="N220" s="225" t="e">
        <f t="shared" ca="1" si="76"/>
        <v>#VALUE!</v>
      </c>
      <c r="O220" s="225" t="e">
        <f t="shared" ca="1" si="76"/>
        <v>#VALUE!</v>
      </c>
      <c r="P220" s="225" t="e">
        <f t="shared" ca="1" si="76"/>
        <v>#VALUE!</v>
      </c>
      <c r="Q220" s="225" t="e">
        <f t="shared" ca="1" si="76"/>
        <v>#VALUE!</v>
      </c>
      <c r="R220" s="225" t="e">
        <f t="shared" ca="1" si="76"/>
        <v>#VALUE!</v>
      </c>
      <c r="S220" s="225" t="e">
        <f t="shared" ca="1" si="76"/>
        <v>#VALUE!</v>
      </c>
      <c r="T220" s="225" t="e">
        <f t="shared" ca="1" si="76"/>
        <v>#VALUE!</v>
      </c>
      <c r="U220" s="225" t="e">
        <f t="shared" ca="1" si="76"/>
        <v>#VALUE!</v>
      </c>
      <c r="V220" s="225" t="e">
        <f t="shared" ca="1" si="76"/>
        <v>#VALUE!</v>
      </c>
      <c r="W220" s="225" t="e">
        <f t="shared" ca="1" si="76"/>
        <v>#VALUE!</v>
      </c>
      <c r="X220" s="225" t="e">
        <f t="shared" ca="1" si="76"/>
        <v>#VALUE!</v>
      </c>
      <c r="Y220" s="225" t="e">
        <f t="shared" ca="1" si="76"/>
        <v>#VALUE!</v>
      </c>
      <c r="Z220" s="225" t="e">
        <f t="shared" ca="1" si="76"/>
        <v>#VALUE!</v>
      </c>
      <c r="AA220" s="225" t="e">
        <f t="shared" ca="1" si="77"/>
        <v>#VALUE!</v>
      </c>
      <c r="AB220" s="225" t="e">
        <f t="shared" ca="1" si="77"/>
        <v>#VALUE!</v>
      </c>
      <c r="AC220" s="225" t="e">
        <f t="shared" ca="1" si="77"/>
        <v>#VALUE!</v>
      </c>
      <c r="AD220" s="225" t="e">
        <f t="shared" ca="1" si="77"/>
        <v>#VALUE!</v>
      </c>
      <c r="AE220" s="225" t="e">
        <f t="shared" ca="1" si="77"/>
        <v>#VALUE!</v>
      </c>
      <c r="AF220" s="225" t="e">
        <f t="shared" ca="1" si="77"/>
        <v>#VALUE!</v>
      </c>
      <c r="AG220" s="225" t="e">
        <f t="shared" ca="1" si="77"/>
        <v>#VALUE!</v>
      </c>
      <c r="AH220" s="225" t="e">
        <f t="shared" ca="1" si="77"/>
        <v>#VALUE!</v>
      </c>
      <c r="AI220" s="225" t="e">
        <f t="shared" ca="1" si="77"/>
        <v>#VALUE!</v>
      </c>
      <c r="AJ220" s="225" t="e">
        <f t="shared" ca="1" si="77"/>
        <v>#VALUE!</v>
      </c>
      <c r="AK220" s="225" t="e">
        <f t="shared" ca="1" si="77"/>
        <v>#VALUE!</v>
      </c>
      <c r="AL220" s="225" t="e">
        <f t="shared" ca="1" si="77"/>
        <v>#VALUE!</v>
      </c>
      <c r="AM220" s="225" t="e">
        <f t="shared" ca="1" si="77"/>
        <v>#VALUE!</v>
      </c>
      <c r="AN220" s="225" t="e">
        <f t="shared" ca="1" si="77"/>
        <v>#VALUE!</v>
      </c>
      <c r="AO220" s="225" t="e">
        <f t="shared" ca="1" si="77"/>
        <v>#VALUE!</v>
      </c>
      <c r="AP220" s="225" t="e">
        <f t="shared" ca="1" si="77"/>
        <v>#VALUE!</v>
      </c>
    </row>
    <row r="221" spans="1:42">
      <c r="A221" s="61" t="str">
        <f>'[5]TS BYDem'!A160</f>
        <v>*</v>
      </c>
      <c r="B221" s="225" t="s">
        <v>288</v>
      </c>
      <c r="C221" s="225" t="s">
        <v>137</v>
      </c>
      <c r="D221" s="225" t="str">
        <f>'[5]TS BYDem'!D160</f>
        <v>IPPE</v>
      </c>
      <c r="E221" s="225" t="s">
        <v>137</v>
      </c>
      <c r="F221" s="225" t="s">
        <v>137</v>
      </c>
      <c r="G221" s="225" t="s">
        <v>137</v>
      </c>
      <c r="H221" s="225" t="s">
        <v>137</v>
      </c>
      <c r="I221" s="225">
        <v>0</v>
      </c>
      <c r="J221" s="225" t="str">
        <f>INDEX('[5]TS BYDem'!$J$10:$J$203,MATCH(D221,'[5]TS BYDem'!$D$10:$D$203,0))</f>
        <v/>
      </c>
      <c r="K221" s="225" t="e">
        <f t="shared" ca="1" si="76"/>
        <v>#VALUE!</v>
      </c>
      <c r="L221" s="225" t="e">
        <f t="shared" ca="1" si="76"/>
        <v>#VALUE!</v>
      </c>
      <c r="M221" s="225" t="e">
        <f t="shared" ca="1" si="76"/>
        <v>#VALUE!</v>
      </c>
      <c r="N221" s="225" t="e">
        <f t="shared" ca="1" si="76"/>
        <v>#VALUE!</v>
      </c>
      <c r="O221" s="225" t="e">
        <f t="shared" ca="1" si="76"/>
        <v>#VALUE!</v>
      </c>
      <c r="P221" s="225" t="e">
        <f t="shared" ca="1" si="76"/>
        <v>#VALUE!</v>
      </c>
      <c r="Q221" s="225" t="e">
        <f t="shared" ca="1" si="76"/>
        <v>#VALUE!</v>
      </c>
      <c r="R221" s="225" t="e">
        <f t="shared" ca="1" si="76"/>
        <v>#VALUE!</v>
      </c>
      <c r="S221" s="225" t="e">
        <f t="shared" ca="1" si="76"/>
        <v>#VALUE!</v>
      </c>
      <c r="T221" s="225" t="e">
        <f t="shared" ca="1" si="76"/>
        <v>#VALUE!</v>
      </c>
      <c r="U221" s="225" t="e">
        <f t="shared" ca="1" si="76"/>
        <v>#VALUE!</v>
      </c>
      <c r="V221" s="225" t="e">
        <f t="shared" ca="1" si="76"/>
        <v>#VALUE!</v>
      </c>
      <c r="W221" s="225" t="e">
        <f t="shared" ca="1" si="76"/>
        <v>#VALUE!</v>
      </c>
      <c r="X221" s="225" t="e">
        <f t="shared" ca="1" si="76"/>
        <v>#VALUE!</v>
      </c>
      <c r="Y221" s="225" t="e">
        <f t="shared" ca="1" si="76"/>
        <v>#VALUE!</v>
      </c>
      <c r="Z221" s="225" t="e">
        <f t="shared" ca="1" si="76"/>
        <v>#VALUE!</v>
      </c>
      <c r="AA221" s="225" t="e">
        <f t="shared" ca="1" si="77"/>
        <v>#VALUE!</v>
      </c>
      <c r="AB221" s="225" t="e">
        <f t="shared" ca="1" si="77"/>
        <v>#VALUE!</v>
      </c>
      <c r="AC221" s="225" t="e">
        <f t="shared" ca="1" si="77"/>
        <v>#VALUE!</v>
      </c>
      <c r="AD221" s="225" t="e">
        <f t="shared" ca="1" si="77"/>
        <v>#VALUE!</v>
      </c>
      <c r="AE221" s="225" t="e">
        <f t="shared" ca="1" si="77"/>
        <v>#VALUE!</v>
      </c>
      <c r="AF221" s="225" t="e">
        <f t="shared" ca="1" si="77"/>
        <v>#VALUE!</v>
      </c>
      <c r="AG221" s="225" t="e">
        <f t="shared" ca="1" si="77"/>
        <v>#VALUE!</v>
      </c>
      <c r="AH221" s="225" t="e">
        <f t="shared" ca="1" si="77"/>
        <v>#VALUE!</v>
      </c>
      <c r="AI221" s="225" t="e">
        <f t="shared" ca="1" si="77"/>
        <v>#VALUE!</v>
      </c>
      <c r="AJ221" s="225" t="e">
        <f t="shared" ca="1" si="77"/>
        <v>#VALUE!</v>
      </c>
      <c r="AK221" s="225" t="e">
        <f t="shared" ca="1" si="77"/>
        <v>#VALUE!</v>
      </c>
      <c r="AL221" s="225" t="e">
        <f t="shared" ca="1" si="77"/>
        <v>#VALUE!</v>
      </c>
      <c r="AM221" s="225" t="e">
        <f t="shared" ca="1" si="77"/>
        <v>#VALUE!</v>
      </c>
      <c r="AN221" s="225" t="e">
        <f t="shared" ca="1" si="77"/>
        <v>#VALUE!</v>
      </c>
      <c r="AO221" s="225" t="e">
        <f t="shared" ca="1" si="77"/>
        <v>#VALUE!</v>
      </c>
      <c r="AP221" s="225" t="e">
        <f t="shared" ca="1" si="77"/>
        <v>#VALUE!</v>
      </c>
    </row>
    <row r="222" spans="1:42">
      <c r="A222" s="61" t="str">
        <f>'[5]TS BYDem'!A161</f>
        <v>*</v>
      </c>
      <c r="B222" s="225" t="s">
        <v>288</v>
      </c>
      <c r="C222" s="225" t="s">
        <v>137</v>
      </c>
      <c r="D222" s="225" t="str">
        <f>'[5]TS BYDem'!D161</f>
        <v xml:space="preserve"> </v>
      </c>
      <c r="E222" s="225" t="s">
        <v>137</v>
      </c>
      <c r="F222" s="225" t="s">
        <v>137</v>
      </c>
      <c r="G222" s="225" t="s">
        <v>137</v>
      </c>
      <c r="H222" s="225" t="s">
        <v>137</v>
      </c>
      <c r="I222" s="225">
        <v>0</v>
      </c>
      <c r="J222" s="225" t="str">
        <f>INDEX('[5]TS BYDem'!$J$10:$J$203,MATCH(D222,'[5]TS BYDem'!$D$10:$D$203,0))</f>
        <v/>
      </c>
      <c r="K222" s="225" t="e">
        <f t="shared" ca="1" si="76"/>
        <v>#VALUE!</v>
      </c>
      <c r="L222" s="225" t="e">
        <f t="shared" ca="1" si="76"/>
        <v>#VALUE!</v>
      </c>
      <c r="M222" s="225" t="e">
        <f t="shared" ca="1" si="76"/>
        <v>#VALUE!</v>
      </c>
      <c r="N222" s="225" t="e">
        <f t="shared" ca="1" si="76"/>
        <v>#VALUE!</v>
      </c>
      <c r="O222" s="225" t="e">
        <f t="shared" ca="1" si="76"/>
        <v>#VALUE!</v>
      </c>
      <c r="P222" s="225" t="e">
        <f t="shared" ca="1" si="76"/>
        <v>#VALUE!</v>
      </c>
      <c r="Q222" s="225" t="e">
        <f t="shared" ca="1" si="76"/>
        <v>#VALUE!</v>
      </c>
      <c r="R222" s="225" t="e">
        <f t="shared" ca="1" si="76"/>
        <v>#VALUE!</v>
      </c>
      <c r="S222" s="225" t="e">
        <f t="shared" ca="1" si="76"/>
        <v>#VALUE!</v>
      </c>
      <c r="T222" s="225" t="e">
        <f t="shared" ca="1" si="76"/>
        <v>#VALUE!</v>
      </c>
      <c r="U222" s="225" t="e">
        <f t="shared" ca="1" si="76"/>
        <v>#VALUE!</v>
      </c>
      <c r="V222" s="225" t="e">
        <f t="shared" ca="1" si="76"/>
        <v>#VALUE!</v>
      </c>
      <c r="W222" s="225" t="e">
        <f t="shared" ca="1" si="76"/>
        <v>#VALUE!</v>
      </c>
      <c r="X222" s="225" t="e">
        <f t="shared" ca="1" si="76"/>
        <v>#VALUE!</v>
      </c>
      <c r="Y222" s="225" t="e">
        <f t="shared" ca="1" si="76"/>
        <v>#VALUE!</v>
      </c>
      <c r="Z222" s="225" t="e">
        <f t="shared" ca="1" si="76"/>
        <v>#VALUE!</v>
      </c>
      <c r="AA222" s="225" t="e">
        <f t="shared" ca="1" si="77"/>
        <v>#VALUE!</v>
      </c>
      <c r="AB222" s="225" t="e">
        <f t="shared" ca="1" si="77"/>
        <v>#VALUE!</v>
      </c>
      <c r="AC222" s="225" t="e">
        <f t="shared" ca="1" si="77"/>
        <v>#VALUE!</v>
      </c>
      <c r="AD222" s="225" t="e">
        <f t="shared" ca="1" si="77"/>
        <v>#VALUE!</v>
      </c>
      <c r="AE222" s="225" t="e">
        <f t="shared" ca="1" si="77"/>
        <v>#VALUE!</v>
      </c>
      <c r="AF222" s="225" t="e">
        <f t="shared" ca="1" si="77"/>
        <v>#VALUE!</v>
      </c>
      <c r="AG222" s="225" t="e">
        <f t="shared" ca="1" si="77"/>
        <v>#VALUE!</v>
      </c>
      <c r="AH222" s="225" t="e">
        <f t="shared" ca="1" si="77"/>
        <v>#VALUE!</v>
      </c>
      <c r="AI222" s="225" t="e">
        <f t="shared" ca="1" si="77"/>
        <v>#VALUE!</v>
      </c>
      <c r="AJ222" s="225" t="e">
        <f t="shared" ca="1" si="77"/>
        <v>#VALUE!</v>
      </c>
      <c r="AK222" s="225" t="e">
        <f t="shared" ca="1" si="77"/>
        <v>#VALUE!</v>
      </c>
      <c r="AL222" s="225" t="e">
        <f t="shared" ca="1" si="77"/>
        <v>#VALUE!</v>
      </c>
      <c r="AM222" s="225" t="e">
        <f t="shared" ca="1" si="77"/>
        <v>#VALUE!</v>
      </c>
      <c r="AN222" s="225" t="e">
        <f t="shared" ca="1" si="77"/>
        <v>#VALUE!</v>
      </c>
      <c r="AO222" s="225" t="e">
        <f t="shared" ca="1" si="77"/>
        <v>#VALUE!</v>
      </c>
      <c r="AP222" s="225" t="e">
        <f t="shared" ca="1" si="77"/>
        <v>#VALUE!</v>
      </c>
    </row>
    <row r="223" spans="1:42">
      <c r="A223" s="61" t="str">
        <f>'[5]TS BYDem'!A162</f>
        <v>*</v>
      </c>
      <c r="B223" s="225" t="s">
        <v>288</v>
      </c>
      <c r="C223" s="225" t="s">
        <v>137</v>
      </c>
      <c r="D223" s="225" t="str">
        <f>'[5]TS BYDem'!D162</f>
        <v>IPPS</v>
      </c>
      <c r="E223" s="225" t="s">
        <v>137</v>
      </c>
      <c r="F223" s="225" t="s">
        <v>137</v>
      </c>
      <c r="G223" s="225" t="s">
        <v>137</v>
      </c>
      <c r="H223" s="225" t="s">
        <v>137</v>
      </c>
      <c r="I223" s="225">
        <v>0</v>
      </c>
      <c r="J223" s="225" t="str">
        <f>INDEX('[5]TS BYDem'!$J$10:$J$203,MATCH(D223,'[5]TS BYDem'!$D$10:$D$203,0))</f>
        <v/>
      </c>
      <c r="K223" s="225" t="e">
        <f t="shared" ca="1" si="76"/>
        <v>#VALUE!</v>
      </c>
      <c r="L223" s="225" t="e">
        <f t="shared" ca="1" si="76"/>
        <v>#VALUE!</v>
      </c>
      <c r="M223" s="225" t="e">
        <f t="shared" ca="1" si="76"/>
        <v>#VALUE!</v>
      </c>
      <c r="N223" s="225" t="e">
        <f t="shared" ca="1" si="76"/>
        <v>#VALUE!</v>
      </c>
      <c r="O223" s="225" t="e">
        <f t="shared" ca="1" si="76"/>
        <v>#VALUE!</v>
      </c>
      <c r="P223" s="225" t="e">
        <f t="shared" ca="1" si="76"/>
        <v>#VALUE!</v>
      </c>
      <c r="Q223" s="225" t="e">
        <f t="shared" ca="1" si="76"/>
        <v>#VALUE!</v>
      </c>
      <c r="R223" s="225" t="e">
        <f t="shared" ca="1" si="76"/>
        <v>#VALUE!</v>
      </c>
      <c r="S223" s="225" t="e">
        <f t="shared" ca="1" si="76"/>
        <v>#VALUE!</v>
      </c>
      <c r="T223" s="225" t="e">
        <f t="shared" ca="1" si="76"/>
        <v>#VALUE!</v>
      </c>
      <c r="U223" s="225" t="e">
        <f t="shared" ca="1" si="76"/>
        <v>#VALUE!</v>
      </c>
      <c r="V223" s="225" t="e">
        <f t="shared" ca="1" si="76"/>
        <v>#VALUE!</v>
      </c>
      <c r="W223" s="225" t="e">
        <f t="shared" ca="1" si="76"/>
        <v>#VALUE!</v>
      </c>
      <c r="X223" s="225" t="e">
        <f t="shared" ca="1" si="76"/>
        <v>#VALUE!</v>
      </c>
      <c r="Y223" s="225" t="e">
        <f t="shared" ca="1" si="76"/>
        <v>#VALUE!</v>
      </c>
      <c r="Z223" s="225" t="e">
        <f t="shared" ca="1" si="76"/>
        <v>#VALUE!</v>
      </c>
      <c r="AA223" s="225" t="e">
        <f t="shared" ca="1" si="77"/>
        <v>#VALUE!</v>
      </c>
      <c r="AB223" s="225" t="e">
        <f t="shared" ca="1" si="77"/>
        <v>#VALUE!</v>
      </c>
      <c r="AC223" s="225" t="e">
        <f t="shared" ca="1" si="77"/>
        <v>#VALUE!</v>
      </c>
      <c r="AD223" s="225" t="e">
        <f t="shared" ca="1" si="77"/>
        <v>#VALUE!</v>
      </c>
      <c r="AE223" s="225" t="e">
        <f t="shared" ca="1" si="77"/>
        <v>#VALUE!</v>
      </c>
      <c r="AF223" s="225" t="e">
        <f t="shared" ca="1" si="77"/>
        <v>#VALUE!</v>
      </c>
      <c r="AG223" s="225" t="e">
        <f t="shared" ca="1" si="77"/>
        <v>#VALUE!</v>
      </c>
      <c r="AH223" s="225" t="e">
        <f t="shared" ca="1" si="77"/>
        <v>#VALUE!</v>
      </c>
      <c r="AI223" s="225" t="e">
        <f t="shared" ca="1" si="77"/>
        <v>#VALUE!</v>
      </c>
      <c r="AJ223" s="225" t="e">
        <f t="shared" ca="1" si="77"/>
        <v>#VALUE!</v>
      </c>
      <c r="AK223" s="225" t="e">
        <f t="shared" ca="1" si="77"/>
        <v>#VALUE!</v>
      </c>
      <c r="AL223" s="225" t="e">
        <f t="shared" ca="1" si="77"/>
        <v>#VALUE!</v>
      </c>
      <c r="AM223" s="225" t="e">
        <f t="shared" ca="1" si="77"/>
        <v>#VALUE!</v>
      </c>
      <c r="AN223" s="225" t="e">
        <f t="shared" ca="1" si="77"/>
        <v>#VALUE!</v>
      </c>
      <c r="AO223" s="225" t="e">
        <f t="shared" ca="1" si="77"/>
        <v>#VALUE!</v>
      </c>
      <c r="AP223" s="225" t="e">
        <f t="shared" ca="1" si="77"/>
        <v>#VALUE!</v>
      </c>
    </row>
    <row r="224" spans="1:42">
      <c r="A224" s="61" t="str">
        <f>'[5]TS BYDem'!A163</f>
        <v>*</v>
      </c>
      <c r="B224" s="225" t="s">
        <v>288</v>
      </c>
      <c r="C224" s="225" t="s">
        <v>137</v>
      </c>
      <c r="D224" s="225" t="str">
        <f>'[5]TS BYDem'!D163</f>
        <v>IPPS</v>
      </c>
      <c r="E224" s="225" t="s">
        <v>137</v>
      </c>
      <c r="F224" s="225" t="s">
        <v>137</v>
      </c>
      <c r="G224" s="225" t="s">
        <v>137</v>
      </c>
      <c r="H224" s="225" t="s">
        <v>137</v>
      </c>
      <c r="I224" s="225">
        <v>0</v>
      </c>
      <c r="J224" s="225" t="str">
        <f>INDEX('[5]TS BYDem'!$J$10:$J$203,MATCH(D224,'[5]TS BYDem'!$D$10:$D$203,0))</f>
        <v/>
      </c>
      <c r="K224" s="225" t="e">
        <f t="shared" ca="1" si="76"/>
        <v>#VALUE!</v>
      </c>
      <c r="L224" s="225" t="e">
        <f t="shared" ca="1" si="76"/>
        <v>#VALUE!</v>
      </c>
      <c r="M224" s="225" t="e">
        <f t="shared" ca="1" si="76"/>
        <v>#VALUE!</v>
      </c>
      <c r="N224" s="225" t="e">
        <f t="shared" ca="1" si="76"/>
        <v>#VALUE!</v>
      </c>
      <c r="O224" s="225" t="e">
        <f t="shared" ca="1" si="76"/>
        <v>#VALUE!</v>
      </c>
      <c r="P224" s="225" t="e">
        <f t="shared" ca="1" si="76"/>
        <v>#VALUE!</v>
      </c>
      <c r="Q224" s="225" t="e">
        <f t="shared" ca="1" si="76"/>
        <v>#VALUE!</v>
      </c>
      <c r="R224" s="225" t="e">
        <f t="shared" ca="1" si="76"/>
        <v>#VALUE!</v>
      </c>
      <c r="S224" s="225" t="e">
        <f t="shared" ca="1" si="76"/>
        <v>#VALUE!</v>
      </c>
      <c r="T224" s="225" t="e">
        <f t="shared" ca="1" si="76"/>
        <v>#VALUE!</v>
      </c>
      <c r="U224" s="225" t="e">
        <f t="shared" ca="1" si="76"/>
        <v>#VALUE!</v>
      </c>
      <c r="V224" s="225" t="e">
        <f t="shared" ca="1" si="76"/>
        <v>#VALUE!</v>
      </c>
      <c r="W224" s="225" t="e">
        <f t="shared" ca="1" si="76"/>
        <v>#VALUE!</v>
      </c>
      <c r="X224" s="225" t="e">
        <f t="shared" ca="1" si="76"/>
        <v>#VALUE!</v>
      </c>
      <c r="Y224" s="225" t="e">
        <f t="shared" ca="1" si="76"/>
        <v>#VALUE!</v>
      </c>
      <c r="Z224" s="225" t="e">
        <f t="shared" ca="1" si="76"/>
        <v>#VALUE!</v>
      </c>
      <c r="AA224" s="225" t="e">
        <f t="shared" ca="1" si="77"/>
        <v>#VALUE!</v>
      </c>
      <c r="AB224" s="225" t="e">
        <f t="shared" ca="1" si="77"/>
        <v>#VALUE!</v>
      </c>
      <c r="AC224" s="225" t="e">
        <f t="shared" ca="1" si="77"/>
        <v>#VALUE!</v>
      </c>
      <c r="AD224" s="225" t="e">
        <f t="shared" ca="1" si="77"/>
        <v>#VALUE!</v>
      </c>
      <c r="AE224" s="225" t="e">
        <f t="shared" ca="1" si="77"/>
        <v>#VALUE!</v>
      </c>
      <c r="AF224" s="225" t="e">
        <f t="shared" ca="1" si="77"/>
        <v>#VALUE!</v>
      </c>
      <c r="AG224" s="225" t="e">
        <f t="shared" ca="1" si="77"/>
        <v>#VALUE!</v>
      </c>
      <c r="AH224" s="225" t="e">
        <f t="shared" ca="1" si="77"/>
        <v>#VALUE!</v>
      </c>
      <c r="AI224" s="225" t="e">
        <f t="shared" ca="1" si="77"/>
        <v>#VALUE!</v>
      </c>
      <c r="AJ224" s="225" t="e">
        <f t="shared" ca="1" si="77"/>
        <v>#VALUE!</v>
      </c>
      <c r="AK224" s="225" t="e">
        <f t="shared" ca="1" si="77"/>
        <v>#VALUE!</v>
      </c>
      <c r="AL224" s="225" t="e">
        <f t="shared" ca="1" si="77"/>
        <v>#VALUE!</v>
      </c>
      <c r="AM224" s="225" t="e">
        <f t="shared" ca="1" si="77"/>
        <v>#VALUE!</v>
      </c>
      <c r="AN224" s="225" t="e">
        <f t="shared" ca="1" si="77"/>
        <v>#VALUE!</v>
      </c>
      <c r="AO224" s="225" t="e">
        <f t="shared" ca="1" si="77"/>
        <v>#VALUE!</v>
      </c>
      <c r="AP224" s="225" t="e">
        <f t="shared" ca="1" si="77"/>
        <v>#VALUE!</v>
      </c>
    </row>
    <row r="225" spans="1:42">
      <c r="A225" s="61" t="str">
        <f>'[5]TS BYDem'!A164</f>
        <v>*</v>
      </c>
      <c r="B225" s="225" t="s">
        <v>288</v>
      </c>
      <c r="C225" s="225" t="s">
        <v>137</v>
      </c>
      <c r="D225" s="225" t="str">
        <f>'[5]TS BYDem'!D164</f>
        <v>IPPS</v>
      </c>
      <c r="E225" s="225" t="s">
        <v>137</v>
      </c>
      <c r="F225" s="225" t="s">
        <v>137</v>
      </c>
      <c r="G225" s="225" t="s">
        <v>137</v>
      </c>
      <c r="H225" s="225" t="s">
        <v>137</v>
      </c>
      <c r="I225" s="225">
        <v>0</v>
      </c>
      <c r="J225" s="225" t="str">
        <f>INDEX('[5]TS BYDem'!$J$10:$J$203,MATCH(D225,'[5]TS BYDem'!$D$10:$D$203,0))</f>
        <v/>
      </c>
      <c r="K225" s="225" t="e">
        <f t="shared" ca="1" si="76"/>
        <v>#VALUE!</v>
      </c>
      <c r="L225" s="225" t="e">
        <f t="shared" ca="1" si="76"/>
        <v>#VALUE!</v>
      </c>
      <c r="M225" s="225" t="e">
        <f t="shared" ca="1" si="76"/>
        <v>#VALUE!</v>
      </c>
      <c r="N225" s="225" t="e">
        <f t="shared" ca="1" si="76"/>
        <v>#VALUE!</v>
      </c>
      <c r="O225" s="225" t="e">
        <f t="shared" ca="1" si="76"/>
        <v>#VALUE!</v>
      </c>
      <c r="P225" s="225" t="e">
        <f t="shared" ca="1" si="76"/>
        <v>#VALUE!</v>
      </c>
      <c r="Q225" s="225" t="e">
        <f t="shared" ca="1" si="76"/>
        <v>#VALUE!</v>
      </c>
      <c r="R225" s="225" t="e">
        <f t="shared" ca="1" si="76"/>
        <v>#VALUE!</v>
      </c>
      <c r="S225" s="225" t="e">
        <f t="shared" ca="1" si="76"/>
        <v>#VALUE!</v>
      </c>
      <c r="T225" s="225" t="e">
        <f t="shared" ca="1" si="76"/>
        <v>#VALUE!</v>
      </c>
      <c r="U225" s="225" t="e">
        <f t="shared" ca="1" si="76"/>
        <v>#VALUE!</v>
      </c>
      <c r="V225" s="225" t="e">
        <f t="shared" ca="1" si="76"/>
        <v>#VALUE!</v>
      </c>
      <c r="W225" s="225" t="e">
        <f t="shared" ca="1" si="76"/>
        <v>#VALUE!</v>
      </c>
      <c r="X225" s="225" t="e">
        <f t="shared" ca="1" si="76"/>
        <v>#VALUE!</v>
      </c>
      <c r="Y225" s="225" t="e">
        <f t="shared" ca="1" si="76"/>
        <v>#VALUE!</v>
      </c>
      <c r="Z225" s="225" t="e">
        <f t="shared" ca="1" si="76"/>
        <v>#VALUE!</v>
      </c>
      <c r="AA225" s="225" t="e">
        <f t="shared" ca="1" si="77"/>
        <v>#VALUE!</v>
      </c>
      <c r="AB225" s="225" t="e">
        <f t="shared" ca="1" si="77"/>
        <v>#VALUE!</v>
      </c>
      <c r="AC225" s="225" t="e">
        <f t="shared" ca="1" si="77"/>
        <v>#VALUE!</v>
      </c>
      <c r="AD225" s="225" t="e">
        <f t="shared" ca="1" si="77"/>
        <v>#VALUE!</v>
      </c>
      <c r="AE225" s="225" t="e">
        <f t="shared" ca="1" si="77"/>
        <v>#VALUE!</v>
      </c>
      <c r="AF225" s="225" t="e">
        <f t="shared" ca="1" si="77"/>
        <v>#VALUE!</v>
      </c>
      <c r="AG225" s="225" t="e">
        <f t="shared" ca="1" si="77"/>
        <v>#VALUE!</v>
      </c>
      <c r="AH225" s="225" t="e">
        <f t="shared" ca="1" si="77"/>
        <v>#VALUE!</v>
      </c>
      <c r="AI225" s="225" t="e">
        <f t="shared" ca="1" si="77"/>
        <v>#VALUE!</v>
      </c>
      <c r="AJ225" s="225" t="e">
        <f t="shared" ca="1" si="77"/>
        <v>#VALUE!</v>
      </c>
      <c r="AK225" s="225" t="e">
        <f t="shared" ca="1" si="77"/>
        <v>#VALUE!</v>
      </c>
      <c r="AL225" s="225" t="e">
        <f t="shared" ca="1" si="77"/>
        <v>#VALUE!</v>
      </c>
      <c r="AM225" s="225" t="e">
        <f t="shared" ca="1" si="77"/>
        <v>#VALUE!</v>
      </c>
      <c r="AN225" s="225" t="e">
        <f t="shared" ca="1" si="77"/>
        <v>#VALUE!</v>
      </c>
      <c r="AO225" s="225" t="e">
        <f t="shared" ca="1" si="77"/>
        <v>#VALUE!</v>
      </c>
      <c r="AP225" s="225" t="e">
        <f t="shared" ca="1" si="77"/>
        <v>#VALUE!</v>
      </c>
    </row>
    <row r="226" spans="1:42">
      <c r="A226" s="61" t="str">
        <f>'[5]TS BYDem'!A165</f>
        <v>*</v>
      </c>
      <c r="B226" s="225" t="s">
        <v>288</v>
      </c>
      <c r="C226" s="225" t="s">
        <v>137</v>
      </c>
      <c r="D226" s="225" t="str">
        <f>'[5]TS BYDem'!D165</f>
        <v>IPPS</v>
      </c>
      <c r="E226" s="225" t="s">
        <v>137</v>
      </c>
      <c r="F226" s="225" t="s">
        <v>137</v>
      </c>
      <c r="G226" s="225" t="s">
        <v>137</v>
      </c>
      <c r="H226" s="225" t="s">
        <v>137</v>
      </c>
      <c r="I226" s="225">
        <v>0</v>
      </c>
      <c r="J226" s="225" t="str">
        <f>INDEX('[5]TS BYDem'!$J$10:$J$203,MATCH(D226,'[5]TS BYDem'!$D$10:$D$203,0))</f>
        <v/>
      </c>
      <c r="K226" s="225" t="e">
        <f t="shared" ca="1" si="76"/>
        <v>#VALUE!</v>
      </c>
      <c r="L226" s="225" t="e">
        <f t="shared" ca="1" si="76"/>
        <v>#VALUE!</v>
      </c>
      <c r="M226" s="225" t="e">
        <f t="shared" ca="1" si="76"/>
        <v>#VALUE!</v>
      </c>
      <c r="N226" s="225" t="e">
        <f t="shared" ca="1" si="76"/>
        <v>#VALUE!</v>
      </c>
      <c r="O226" s="225" t="e">
        <f t="shared" ca="1" si="76"/>
        <v>#VALUE!</v>
      </c>
      <c r="P226" s="225" t="e">
        <f t="shared" ca="1" si="76"/>
        <v>#VALUE!</v>
      </c>
      <c r="Q226" s="225" t="e">
        <f t="shared" ca="1" si="76"/>
        <v>#VALUE!</v>
      </c>
      <c r="R226" s="225" t="e">
        <f t="shared" ca="1" si="76"/>
        <v>#VALUE!</v>
      </c>
      <c r="S226" s="225" t="e">
        <f t="shared" ca="1" si="76"/>
        <v>#VALUE!</v>
      </c>
      <c r="T226" s="225" t="e">
        <f t="shared" ca="1" si="76"/>
        <v>#VALUE!</v>
      </c>
      <c r="U226" s="225" t="e">
        <f t="shared" ca="1" si="76"/>
        <v>#VALUE!</v>
      </c>
      <c r="V226" s="225" t="e">
        <f t="shared" ca="1" si="76"/>
        <v>#VALUE!</v>
      </c>
      <c r="W226" s="225" t="e">
        <f t="shared" ca="1" si="76"/>
        <v>#VALUE!</v>
      </c>
      <c r="X226" s="225" t="e">
        <f t="shared" ca="1" si="76"/>
        <v>#VALUE!</v>
      </c>
      <c r="Y226" s="225" t="e">
        <f t="shared" ca="1" si="76"/>
        <v>#VALUE!</v>
      </c>
      <c r="Z226" s="225" t="e">
        <f t="shared" ca="1" si="76"/>
        <v>#VALUE!</v>
      </c>
      <c r="AA226" s="225" t="e">
        <f t="shared" ca="1" si="77"/>
        <v>#VALUE!</v>
      </c>
      <c r="AB226" s="225" t="e">
        <f t="shared" ca="1" si="77"/>
        <v>#VALUE!</v>
      </c>
      <c r="AC226" s="225" t="e">
        <f t="shared" ca="1" si="77"/>
        <v>#VALUE!</v>
      </c>
      <c r="AD226" s="225" t="e">
        <f t="shared" ca="1" si="77"/>
        <v>#VALUE!</v>
      </c>
      <c r="AE226" s="225" t="e">
        <f t="shared" ca="1" si="77"/>
        <v>#VALUE!</v>
      </c>
      <c r="AF226" s="225" t="e">
        <f t="shared" ca="1" si="77"/>
        <v>#VALUE!</v>
      </c>
      <c r="AG226" s="225" t="e">
        <f t="shared" ca="1" si="77"/>
        <v>#VALUE!</v>
      </c>
      <c r="AH226" s="225" t="e">
        <f t="shared" ca="1" si="77"/>
        <v>#VALUE!</v>
      </c>
      <c r="AI226" s="225" t="e">
        <f t="shared" ca="1" si="77"/>
        <v>#VALUE!</v>
      </c>
      <c r="AJ226" s="225" t="e">
        <f t="shared" ca="1" si="77"/>
        <v>#VALUE!</v>
      </c>
      <c r="AK226" s="225" t="e">
        <f t="shared" ca="1" si="77"/>
        <v>#VALUE!</v>
      </c>
      <c r="AL226" s="225" t="e">
        <f t="shared" ca="1" si="77"/>
        <v>#VALUE!</v>
      </c>
      <c r="AM226" s="225" t="e">
        <f t="shared" ca="1" si="77"/>
        <v>#VALUE!</v>
      </c>
      <c r="AN226" s="225" t="e">
        <f t="shared" ca="1" si="77"/>
        <v>#VALUE!</v>
      </c>
      <c r="AO226" s="225" t="e">
        <f t="shared" ca="1" si="77"/>
        <v>#VALUE!</v>
      </c>
      <c r="AP226" s="225" t="e">
        <f t="shared" ca="1" si="77"/>
        <v>#VALUE!</v>
      </c>
    </row>
    <row r="227" spans="1:42">
      <c r="A227" s="61" t="str">
        <f>'[5]TS BYDem'!A166</f>
        <v>*</v>
      </c>
      <c r="B227" s="225" t="s">
        <v>288</v>
      </c>
      <c r="C227" s="225" t="s">
        <v>137</v>
      </c>
      <c r="D227" s="225" t="str">
        <f>'[5]TS BYDem'!D166</f>
        <v>IPPS</v>
      </c>
      <c r="E227" s="225" t="s">
        <v>137</v>
      </c>
      <c r="F227" s="225" t="s">
        <v>137</v>
      </c>
      <c r="G227" s="225" t="s">
        <v>137</v>
      </c>
      <c r="H227" s="225" t="s">
        <v>137</v>
      </c>
      <c r="I227" s="225">
        <v>0</v>
      </c>
      <c r="J227" s="225" t="str">
        <f>INDEX('[5]TS BYDem'!$J$10:$J$203,MATCH(D227,'[5]TS BYDem'!$D$10:$D$203,0))</f>
        <v/>
      </c>
      <c r="K227" s="225" t="e">
        <f t="shared" ca="1" si="76"/>
        <v>#VALUE!</v>
      </c>
      <c r="L227" s="225" t="e">
        <f t="shared" ca="1" si="76"/>
        <v>#VALUE!</v>
      </c>
      <c r="M227" s="225" t="e">
        <f t="shared" ca="1" si="76"/>
        <v>#VALUE!</v>
      </c>
      <c r="N227" s="225" t="e">
        <f t="shared" ca="1" si="76"/>
        <v>#VALUE!</v>
      </c>
      <c r="O227" s="225" t="e">
        <f t="shared" ca="1" si="76"/>
        <v>#VALUE!</v>
      </c>
      <c r="P227" s="225" t="e">
        <f t="shared" ca="1" si="76"/>
        <v>#VALUE!</v>
      </c>
      <c r="Q227" s="225" t="e">
        <f t="shared" ca="1" si="76"/>
        <v>#VALUE!</v>
      </c>
      <c r="R227" s="225" t="e">
        <f t="shared" ca="1" si="76"/>
        <v>#VALUE!</v>
      </c>
      <c r="S227" s="225" t="e">
        <f t="shared" ca="1" si="76"/>
        <v>#VALUE!</v>
      </c>
      <c r="T227" s="225" t="e">
        <f t="shared" ca="1" si="76"/>
        <v>#VALUE!</v>
      </c>
      <c r="U227" s="225" t="e">
        <f t="shared" ca="1" si="76"/>
        <v>#VALUE!</v>
      </c>
      <c r="V227" s="225" t="e">
        <f t="shared" ca="1" si="76"/>
        <v>#VALUE!</v>
      </c>
      <c r="W227" s="225" t="e">
        <f t="shared" ca="1" si="76"/>
        <v>#VALUE!</v>
      </c>
      <c r="X227" s="225" t="e">
        <f t="shared" ca="1" si="76"/>
        <v>#VALUE!</v>
      </c>
      <c r="Y227" s="225" t="e">
        <f t="shared" ca="1" si="76"/>
        <v>#VALUE!</v>
      </c>
      <c r="Z227" s="225" t="e">
        <f t="shared" ref="Z227:AO228" ca="1" si="78">Z$211/Y$211*Y227</f>
        <v>#VALUE!</v>
      </c>
      <c r="AA227" s="225" t="e">
        <f t="shared" ca="1" si="78"/>
        <v>#VALUE!</v>
      </c>
      <c r="AB227" s="225" t="e">
        <f t="shared" ca="1" si="78"/>
        <v>#VALUE!</v>
      </c>
      <c r="AC227" s="225" t="e">
        <f t="shared" ca="1" si="78"/>
        <v>#VALUE!</v>
      </c>
      <c r="AD227" s="225" t="e">
        <f t="shared" ca="1" si="78"/>
        <v>#VALUE!</v>
      </c>
      <c r="AE227" s="225" t="e">
        <f t="shared" ca="1" si="78"/>
        <v>#VALUE!</v>
      </c>
      <c r="AF227" s="225" t="e">
        <f t="shared" ca="1" si="78"/>
        <v>#VALUE!</v>
      </c>
      <c r="AG227" s="225" t="e">
        <f t="shared" ca="1" si="78"/>
        <v>#VALUE!</v>
      </c>
      <c r="AH227" s="225" t="e">
        <f t="shared" ca="1" si="78"/>
        <v>#VALUE!</v>
      </c>
      <c r="AI227" s="225" t="e">
        <f t="shared" ca="1" si="78"/>
        <v>#VALUE!</v>
      </c>
      <c r="AJ227" s="225" t="e">
        <f t="shared" ca="1" si="78"/>
        <v>#VALUE!</v>
      </c>
      <c r="AK227" s="225" t="e">
        <f t="shared" ca="1" si="78"/>
        <v>#VALUE!</v>
      </c>
      <c r="AL227" s="225" t="e">
        <f t="shared" ca="1" si="78"/>
        <v>#VALUE!</v>
      </c>
      <c r="AM227" s="225" t="e">
        <f t="shared" ca="1" si="78"/>
        <v>#VALUE!</v>
      </c>
      <c r="AN227" s="225" t="e">
        <f t="shared" ca="1" si="78"/>
        <v>#VALUE!</v>
      </c>
      <c r="AO227" s="225" t="e">
        <f t="shared" ca="1" si="78"/>
        <v>#VALUE!</v>
      </c>
      <c r="AP227" s="225" t="e">
        <f t="shared" ca="1" si="77"/>
        <v>#VALUE!</v>
      </c>
    </row>
    <row r="228" spans="1:42">
      <c r="A228" s="61" t="str">
        <f>'[5]TS BYDem'!A167</f>
        <v>*</v>
      </c>
      <c r="B228" s="225" t="s">
        <v>288</v>
      </c>
      <c r="C228" s="225" t="s">
        <v>137</v>
      </c>
      <c r="D228" s="225" t="str">
        <f>'[5]TS BYDem'!D167</f>
        <v>IPPS</v>
      </c>
      <c r="E228" s="225" t="s">
        <v>137</v>
      </c>
      <c r="F228" s="225" t="s">
        <v>137</v>
      </c>
      <c r="G228" s="225" t="s">
        <v>137</v>
      </c>
      <c r="H228" s="225" t="s">
        <v>137</v>
      </c>
      <c r="I228" s="225">
        <v>0</v>
      </c>
      <c r="J228" s="225" t="str">
        <f>INDEX('[5]TS BYDem'!$J$10:$J$203,MATCH(D228,'[5]TS BYDem'!$D$10:$D$203,0))</f>
        <v/>
      </c>
      <c r="K228" s="225" t="e">
        <f t="shared" ref="K228:Z229" ca="1" si="79">K$211/J$211*J228</f>
        <v>#VALUE!</v>
      </c>
      <c r="L228" s="225" t="e">
        <f t="shared" ca="1" si="79"/>
        <v>#VALUE!</v>
      </c>
      <c r="M228" s="225" t="e">
        <f t="shared" ca="1" si="79"/>
        <v>#VALUE!</v>
      </c>
      <c r="N228" s="225" t="e">
        <f t="shared" ca="1" si="79"/>
        <v>#VALUE!</v>
      </c>
      <c r="O228" s="225" t="e">
        <f t="shared" ca="1" si="79"/>
        <v>#VALUE!</v>
      </c>
      <c r="P228" s="225" t="e">
        <f t="shared" ca="1" si="79"/>
        <v>#VALUE!</v>
      </c>
      <c r="Q228" s="225" t="e">
        <f t="shared" ca="1" si="79"/>
        <v>#VALUE!</v>
      </c>
      <c r="R228" s="225" t="e">
        <f t="shared" ca="1" si="79"/>
        <v>#VALUE!</v>
      </c>
      <c r="S228" s="225" t="e">
        <f t="shared" ca="1" si="79"/>
        <v>#VALUE!</v>
      </c>
      <c r="T228" s="225" t="e">
        <f t="shared" ca="1" si="79"/>
        <v>#VALUE!</v>
      </c>
      <c r="U228" s="225" t="e">
        <f t="shared" ca="1" si="79"/>
        <v>#VALUE!</v>
      </c>
      <c r="V228" s="225" t="e">
        <f t="shared" ca="1" si="79"/>
        <v>#VALUE!</v>
      </c>
      <c r="W228" s="225" t="e">
        <f t="shared" ca="1" si="79"/>
        <v>#VALUE!</v>
      </c>
      <c r="X228" s="225" t="e">
        <f t="shared" ca="1" si="79"/>
        <v>#VALUE!</v>
      </c>
      <c r="Y228" s="225" t="e">
        <f t="shared" ca="1" si="79"/>
        <v>#VALUE!</v>
      </c>
      <c r="Z228" s="225" t="e">
        <f t="shared" ca="1" si="79"/>
        <v>#VALUE!</v>
      </c>
      <c r="AA228" s="225" t="e">
        <f t="shared" ca="1" si="78"/>
        <v>#VALUE!</v>
      </c>
      <c r="AB228" s="225" t="e">
        <f t="shared" ca="1" si="78"/>
        <v>#VALUE!</v>
      </c>
      <c r="AC228" s="225" t="e">
        <f t="shared" ca="1" si="78"/>
        <v>#VALUE!</v>
      </c>
      <c r="AD228" s="225" t="e">
        <f t="shared" ca="1" si="78"/>
        <v>#VALUE!</v>
      </c>
      <c r="AE228" s="225" t="e">
        <f t="shared" ca="1" si="78"/>
        <v>#VALUE!</v>
      </c>
      <c r="AF228" s="225" t="e">
        <f t="shared" ca="1" si="78"/>
        <v>#VALUE!</v>
      </c>
      <c r="AG228" s="225" t="e">
        <f t="shared" ca="1" si="78"/>
        <v>#VALUE!</v>
      </c>
      <c r="AH228" s="225" t="e">
        <f t="shared" ca="1" si="78"/>
        <v>#VALUE!</v>
      </c>
      <c r="AI228" s="225" t="e">
        <f t="shared" ca="1" si="78"/>
        <v>#VALUE!</v>
      </c>
      <c r="AJ228" s="225" t="e">
        <f t="shared" ca="1" si="78"/>
        <v>#VALUE!</v>
      </c>
      <c r="AK228" s="225" t="e">
        <f t="shared" ca="1" si="78"/>
        <v>#VALUE!</v>
      </c>
      <c r="AL228" s="225" t="e">
        <f t="shared" ca="1" si="78"/>
        <v>#VALUE!</v>
      </c>
      <c r="AM228" s="225" t="e">
        <f t="shared" ca="1" si="78"/>
        <v>#VALUE!</v>
      </c>
      <c r="AN228" s="225" t="e">
        <f t="shared" ca="1" si="78"/>
        <v>#VALUE!</v>
      </c>
      <c r="AO228" s="225" t="e">
        <f t="shared" ca="1" si="78"/>
        <v>#VALUE!</v>
      </c>
      <c r="AP228" s="225" t="e">
        <f t="shared" ref="L228:AP229" ca="1" si="80">AP$211/AO$211*AO228</f>
        <v>#VALUE!</v>
      </c>
    </row>
    <row r="229" spans="1:42">
      <c r="A229" s="61" t="str">
        <f>'[5]TS BYDem'!A168</f>
        <v>*</v>
      </c>
      <c r="B229" s="225" t="s">
        <v>288</v>
      </c>
      <c r="C229" s="225" t="s">
        <v>137</v>
      </c>
      <c r="D229" s="225" t="str">
        <f>'[5]TS BYDem'!D168</f>
        <v>IPPS</v>
      </c>
      <c r="E229" s="225" t="s">
        <v>137</v>
      </c>
      <c r="F229" s="225" t="s">
        <v>137</v>
      </c>
      <c r="G229" s="225" t="s">
        <v>137</v>
      </c>
      <c r="H229" s="225" t="s">
        <v>137</v>
      </c>
      <c r="I229" s="225">
        <v>0</v>
      </c>
      <c r="J229" s="225" t="str">
        <f>INDEX('[5]TS BYDem'!$J$10:$J$203,MATCH(D229,'[5]TS BYDem'!$D$10:$D$203,0))</f>
        <v/>
      </c>
      <c r="K229" s="225" t="e">
        <f t="shared" ca="1" si="79"/>
        <v>#VALUE!</v>
      </c>
      <c r="L229" s="225" t="e">
        <f t="shared" ca="1" si="80"/>
        <v>#VALUE!</v>
      </c>
      <c r="M229" s="225" t="e">
        <f t="shared" ca="1" si="80"/>
        <v>#VALUE!</v>
      </c>
      <c r="N229" s="225" t="e">
        <f t="shared" ca="1" si="80"/>
        <v>#VALUE!</v>
      </c>
      <c r="O229" s="225" t="e">
        <f t="shared" ca="1" si="80"/>
        <v>#VALUE!</v>
      </c>
      <c r="P229" s="225" t="e">
        <f t="shared" ca="1" si="80"/>
        <v>#VALUE!</v>
      </c>
      <c r="Q229" s="225" t="e">
        <f t="shared" ca="1" si="80"/>
        <v>#VALUE!</v>
      </c>
      <c r="R229" s="225" t="e">
        <f t="shared" ca="1" si="80"/>
        <v>#VALUE!</v>
      </c>
      <c r="S229" s="225" t="e">
        <f t="shared" ca="1" si="80"/>
        <v>#VALUE!</v>
      </c>
      <c r="T229" s="225" t="e">
        <f t="shared" ca="1" si="80"/>
        <v>#VALUE!</v>
      </c>
      <c r="U229" s="225" t="e">
        <f t="shared" ca="1" si="80"/>
        <v>#VALUE!</v>
      </c>
      <c r="V229" s="225" t="e">
        <f t="shared" ca="1" si="80"/>
        <v>#VALUE!</v>
      </c>
      <c r="W229" s="225" t="e">
        <f t="shared" ca="1" si="80"/>
        <v>#VALUE!</v>
      </c>
      <c r="X229" s="225" t="e">
        <f t="shared" ca="1" si="80"/>
        <v>#VALUE!</v>
      </c>
      <c r="Y229" s="225" t="e">
        <f t="shared" ca="1" si="80"/>
        <v>#VALUE!</v>
      </c>
      <c r="Z229" s="225" t="e">
        <f t="shared" ca="1" si="80"/>
        <v>#VALUE!</v>
      </c>
      <c r="AA229" s="225" t="e">
        <f t="shared" ca="1" si="80"/>
        <v>#VALUE!</v>
      </c>
      <c r="AB229" s="225" t="e">
        <f t="shared" ca="1" si="80"/>
        <v>#VALUE!</v>
      </c>
      <c r="AC229" s="225" t="e">
        <f t="shared" ca="1" si="80"/>
        <v>#VALUE!</v>
      </c>
      <c r="AD229" s="225" t="e">
        <f t="shared" ca="1" si="80"/>
        <v>#VALUE!</v>
      </c>
      <c r="AE229" s="225" t="e">
        <f t="shared" ca="1" si="80"/>
        <v>#VALUE!</v>
      </c>
      <c r="AF229" s="225" t="e">
        <f t="shared" ca="1" si="80"/>
        <v>#VALUE!</v>
      </c>
      <c r="AG229" s="225" t="e">
        <f t="shared" ca="1" si="80"/>
        <v>#VALUE!</v>
      </c>
      <c r="AH229" s="225" t="e">
        <f t="shared" ca="1" si="80"/>
        <v>#VALUE!</v>
      </c>
      <c r="AI229" s="225" t="e">
        <f t="shared" ca="1" si="80"/>
        <v>#VALUE!</v>
      </c>
      <c r="AJ229" s="225" t="e">
        <f t="shared" ca="1" si="80"/>
        <v>#VALUE!</v>
      </c>
      <c r="AK229" s="225" t="e">
        <f t="shared" ca="1" si="80"/>
        <v>#VALUE!</v>
      </c>
      <c r="AL229" s="225" t="e">
        <f t="shared" ca="1" si="80"/>
        <v>#VALUE!</v>
      </c>
      <c r="AM229" s="225" t="e">
        <f t="shared" ca="1" si="80"/>
        <v>#VALUE!</v>
      </c>
      <c r="AN229" s="225" t="e">
        <f t="shared" ca="1" si="80"/>
        <v>#VALUE!</v>
      </c>
      <c r="AO229" s="225" t="e">
        <f t="shared" ca="1" si="80"/>
        <v>#VALUE!</v>
      </c>
      <c r="AP229" s="225" t="e">
        <f t="shared" ca="1" si="80"/>
        <v>#VALUE!</v>
      </c>
    </row>
    <row r="230" spans="1:42" s="5" customFormat="1">
      <c r="A230" s="61" t="str">
        <f>'[5]TS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61" t="str">
        <f>'[5]TS BYDem'!A170</f>
        <v>*</v>
      </c>
      <c r="B231" s="225" t="s">
        <v>288</v>
      </c>
      <c r="C231" s="225" t="s">
        <v>137</v>
      </c>
      <c r="D231" s="225">
        <f>'[5]TS BYDem'!D170</f>
        <v>0</v>
      </c>
      <c r="E231" s="225" t="s">
        <v>137</v>
      </c>
      <c r="F231" s="225" t="s">
        <v>137</v>
      </c>
      <c r="G231" s="225" t="s">
        <v>137</v>
      </c>
      <c r="H231" s="225" t="s">
        <v>137</v>
      </c>
      <c r="I231" s="225">
        <v>0</v>
      </c>
      <c r="J231" s="225" t="str">
        <f>INDEX('[5]TS BYDem'!$J$10:$J$203,MATCH(D231,'[5]TS BYDem'!$D$10:$D$203,0))</f>
        <v/>
      </c>
      <c r="K231" s="225" t="e">
        <f t="shared" ref="K231:Z253" ca="1" si="82">K$230/J$230*J231</f>
        <v>#VALUE!</v>
      </c>
      <c r="L231" s="225" t="e">
        <f t="shared" ca="1" si="82"/>
        <v>#VALUE!</v>
      </c>
      <c r="M231" s="225" t="e">
        <f t="shared" ca="1" si="82"/>
        <v>#VALUE!</v>
      </c>
      <c r="N231" s="225" t="e">
        <f t="shared" ca="1" si="82"/>
        <v>#VALUE!</v>
      </c>
      <c r="O231" s="225" t="e">
        <f t="shared" ca="1" si="82"/>
        <v>#VALUE!</v>
      </c>
      <c r="P231" s="225" t="e">
        <f t="shared" ca="1" si="82"/>
        <v>#VALUE!</v>
      </c>
      <c r="Q231" s="225" t="e">
        <f t="shared" ca="1" si="82"/>
        <v>#VALUE!</v>
      </c>
      <c r="R231" s="225" t="e">
        <f t="shared" ca="1" si="82"/>
        <v>#VALUE!</v>
      </c>
      <c r="S231" s="225" t="e">
        <f t="shared" ca="1" si="82"/>
        <v>#VALUE!</v>
      </c>
      <c r="T231" s="225" t="e">
        <f t="shared" ca="1" si="82"/>
        <v>#VALUE!</v>
      </c>
      <c r="U231" s="225" t="e">
        <f t="shared" ca="1" si="82"/>
        <v>#VALUE!</v>
      </c>
      <c r="V231" s="225" t="e">
        <f t="shared" ca="1" si="82"/>
        <v>#VALUE!</v>
      </c>
      <c r="W231" s="225" t="e">
        <f t="shared" ca="1" si="82"/>
        <v>#VALUE!</v>
      </c>
      <c r="X231" s="225" t="e">
        <f t="shared" ca="1" si="82"/>
        <v>#VALUE!</v>
      </c>
      <c r="Y231" s="225" t="e">
        <f t="shared" ca="1" si="82"/>
        <v>#VALUE!</v>
      </c>
      <c r="Z231" s="225" t="e">
        <f t="shared" ca="1" si="82"/>
        <v>#VALUE!</v>
      </c>
      <c r="AA231" s="225" t="e">
        <f t="shared" ref="AA231:AP246" ca="1" si="83">AA$230/Z$230*Z231</f>
        <v>#VALUE!</v>
      </c>
      <c r="AB231" s="225" t="e">
        <f t="shared" ca="1" si="83"/>
        <v>#VALUE!</v>
      </c>
      <c r="AC231" s="225" t="e">
        <f t="shared" ca="1" si="83"/>
        <v>#VALUE!</v>
      </c>
      <c r="AD231" s="225" t="e">
        <f t="shared" ca="1" si="83"/>
        <v>#VALUE!</v>
      </c>
      <c r="AE231" s="225" t="e">
        <f t="shared" ca="1" si="83"/>
        <v>#VALUE!</v>
      </c>
      <c r="AF231" s="225" t="e">
        <f t="shared" ca="1" si="83"/>
        <v>#VALUE!</v>
      </c>
      <c r="AG231" s="225" t="e">
        <f t="shared" ca="1" si="83"/>
        <v>#VALUE!</v>
      </c>
      <c r="AH231" s="225" t="e">
        <f t="shared" ca="1" si="83"/>
        <v>#VALUE!</v>
      </c>
      <c r="AI231" s="225" t="e">
        <f t="shared" ca="1" si="83"/>
        <v>#VALUE!</v>
      </c>
      <c r="AJ231" s="225" t="e">
        <f t="shared" ca="1" si="83"/>
        <v>#VALUE!</v>
      </c>
      <c r="AK231" s="225" t="e">
        <f t="shared" ca="1" si="83"/>
        <v>#VALUE!</v>
      </c>
      <c r="AL231" s="225" t="e">
        <f t="shared" ca="1" si="83"/>
        <v>#VALUE!</v>
      </c>
      <c r="AM231" s="225" t="e">
        <f t="shared" ca="1" si="83"/>
        <v>#VALUE!</v>
      </c>
      <c r="AN231" s="225" t="e">
        <f t="shared" ca="1" si="83"/>
        <v>#VALUE!</v>
      </c>
      <c r="AO231" s="225" t="e">
        <f t="shared" ca="1" si="83"/>
        <v>#VALUE!</v>
      </c>
      <c r="AP231" s="225" t="e">
        <f t="shared" ca="1" si="83"/>
        <v>#VALUE!</v>
      </c>
    </row>
    <row r="232" spans="1:42">
      <c r="A232" s="61" t="str">
        <f>'[5]TS BYDem'!A171</f>
        <v>*</v>
      </c>
      <c r="B232" s="225" t="s">
        <v>288</v>
      </c>
      <c r="C232" s="225" t="s">
        <v>137</v>
      </c>
      <c r="D232" s="225">
        <f>'[5]TS BYDem'!D171</f>
        <v>2</v>
      </c>
      <c r="E232" s="225" t="s">
        <v>137</v>
      </c>
      <c r="F232" s="225" t="s">
        <v>137</v>
      </c>
      <c r="G232" s="225" t="s">
        <v>137</v>
      </c>
      <c r="H232" s="225" t="s">
        <v>137</v>
      </c>
      <c r="I232" s="225">
        <v>0</v>
      </c>
      <c r="J232" s="225" t="str">
        <f>INDEX('[5]TS BYDem'!$J$10:$J$203,MATCH(D232,'[5]TS BYDem'!$D$10:$D$203,0))</f>
        <v/>
      </c>
      <c r="K232" s="225" t="e">
        <f t="shared" ca="1" si="82"/>
        <v>#VALUE!</v>
      </c>
      <c r="L232" s="225" t="e">
        <f t="shared" ca="1" si="82"/>
        <v>#VALUE!</v>
      </c>
      <c r="M232" s="225" t="e">
        <f t="shared" ca="1" si="82"/>
        <v>#VALUE!</v>
      </c>
      <c r="N232" s="225" t="e">
        <f t="shared" ca="1" si="82"/>
        <v>#VALUE!</v>
      </c>
      <c r="O232" s="225" t="e">
        <f t="shared" ca="1" si="82"/>
        <v>#VALUE!</v>
      </c>
      <c r="P232" s="225" t="e">
        <f t="shared" ca="1" si="82"/>
        <v>#VALUE!</v>
      </c>
      <c r="Q232" s="225" t="e">
        <f t="shared" ca="1" si="82"/>
        <v>#VALUE!</v>
      </c>
      <c r="R232" s="225" t="e">
        <f t="shared" ca="1" si="82"/>
        <v>#VALUE!</v>
      </c>
      <c r="S232" s="225" t="e">
        <f t="shared" ca="1" si="82"/>
        <v>#VALUE!</v>
      </c>
      <c r="T232" s="225" t="e">
        <f t="shared" ca="1" si="82"/>
        <v>#VALUE!</v>
      </c>
      <c r="U232" s="225" t="e">
        <f t="shared" ca="1" si="82"/>
        <v>#VALUE!</v>
      </c>
      <c r="V232" s="225" t="e">
        <f t="shared" ca="1" si="82"/>
        <v>#VALUE!</v>
      </c>
      <c r="W232" s="225" t="e">
        <f t="shared" ca="1" si="82"/>
        <v>#VALUE!</v>
      </c>
      <c r="X232" s="225" t="e">
        <f t="shared" ca="1" si="82"/>
        <v>#VALUE!</v>
      </c>
      <c r="Y232" s="225" t="e">
        <f t="shared" ca="1" si="82"/>
        <v>#VALUE!</v>
      </c>
      <c r="Z232" s="225" t="e">
        <f t="shared" ca="1" si="82"/>
        <v>#VALUE!</v>
      </c>
      <c r="AA232" s="225" t="e">
        <f t="shared" ca="1" si="83"/>
        <v>#VALUE!</v>
      </c>
      <c r="AB232" s="225" t="e">
        <f t="shared" ca="1" si="83"/>
        <v>#VALUE!</v>
      </c>
      <c r="AC232" s="225" t="e">
        <f t="shared" ca="1" si="83"/>
        <v>#VALUE!</v>
      </c>
      <c r="AD232" s="225" t="e">
        <f t="shared" ca="1" si="83"/>
        <v>#VALUE!</v>
      </c>
      <c r="AE232" s="225" t="e">
        <f t="shared" ca="1" si="83"/>
        <v>#VALUE!</v>
      </c>
      <c r="AF232" s="225" t="e">
        <f t="shared" ca="1" si="83"/>
        <v>#VALUE!</v>
      </c>
      <c r="AG232" s="225" t="e">
        <f t="shared" ca="1" si="83"/>
        <v>#VALUE!</v>
      </c>
      <c r="AH232" s="225" t="e">
        <f t="shared" ca="1" si="83"/>
        <v>#VALUE!</v>
      </c>
      <c r="AI232" s="225" t="e">
        <f t="shared" ca="1" si="83"/>
        <v>#VALUE!</v>
      </c>
      <c r="AJ232" s="225" t="e">
        <f t="shared" ca="1" si="83"/>
        <v>#VALUE!</v>
      </c>
      <c r="AK232" s="225" t="e">
        <f t="shared" ca="1" si="83"/>
        <v>#VALUE!</v>
      </c>
      <c r="AL232" s="225" t="e">
        <f t="shared" ca="1" si="83"/>
        <v>#VALUE!</v>
      </c>
      <c r="AM232" s="225" t="e">
        <f t="shared" ca="1" si="83"/>
        <v>#VALUE!</v>
      </c>
      <c r="AN232" s="225" t="e">
        <f t="shared" ca="1" si="83"/>
        <v>#VALUE!</v>
      </c>
      <c r="AO232" s="225" t="e">
        <f t="shared" ca="1" si="83"/>
        <v>#VALUE!</v>
      </c>
      <c r="AP232" s="225" t="e">
        <f t="shared" ca="1" si="83"/>
        <v>#VALUE!</v>
      </c>
    </row>
    <row r="233" spans="1:42">
      <c r="A233" s="61" t="str">
        <f>'[5]TS BYDem'!A172</f>
        <v/>
      </c>
      <c r="B233" s="225" t="s">
        <v>288</v>
      </c>
      <c r="C233" s="225" t="s">
        <v>137</v>
      </c>
      <c r="D233" s="225" t="str">
        <f>'[5]TS BYDem'!D172</f>
        <v>IOTK</v>
      </c>
      <c r="E233" s="225" t="s">
        <v>137</v>
      </c>
      <c r="F233" s="225" t="s">
        <v>137</v>
      </c>
      <c r="G233" s="225" t="s">
        <v>137</v>
      </c>
      <c r="H233" s="225" t="s">
        <v>137</v>
      </c>
      <c r="I233" s="225">
        <v>0</v>
      </c>
      <c r="J233" s="225">
        <f>INDEX('[5]TS BYDem'!$J$10:$J$203,MATCH(D233,'[5]TS BYDem'!$D$10:$D$203,0))</f>
        <v>4.0241553496851505</v>
      </c>
      <c r="K233" s="225">
        <f t="shared" ca="1" si="82"/>
        <v>4.1289030027364033</v>
      </c>
      <c r="L233" s="225">
        <f t="shared" ca="1" si="82"/>
        <v>4.1975955908711562</v>
      </c>
      <c r="M233" s="232">
        <f t="shared" ref="M233:M241" si="84">O233</f>
        <v>2.1816720000000003</v>
      </c>
      <c r="N233" s="232">
        <f t="shared" ref="N233:N241" si="85">O233</f>
        <v>2.1816720000000003</v>
      </c>
      <c r="O233" s="232">
        <f>INDEX('[5]TS BYDem'!$O$10:$O$203,MATCH(D233,'[5]TS BYDem'!$D$10:$D$203,0))</f>
        <v>2.1816720000000003</v>
      </c>
      <c r="P233" s="225">
        <f t="shared" ca="1" si="82"/>
        <v>2.2006776165359949</v>
      </c>
      <c r="Q233" s="225">
        <f t="shared" ca="1" si="82"/>
        <v>2.2000728923734858</v>
      </c>
      <c r="R233" s="225">
        <f t="shared" ca="1" si="82"/>
        <v>1.9890241596578764</v>
      </c>
      <c r="S233" s="225">
        <f t="shared" ca="1" si="82"/>
        <v>2.0447451717747684</v>
      </c>
      <c r="T233" s="225">
        <f t="shared" ca="1" si="82"/>
        <v>2.0957147797576621</v>
      </c>
      <c r="U233" s="225">
        <f t="shared" ca="1" si="82"/>
        <v>2.1453021610833929</v>
      </c>
      <c r="V233" s="225">
        <f t="shared" ca="1" si="82"/>
        <v>2.192816202423379</v>
      </c>
      <c r="W233" s="225">
        <f t="shared" ca="1" si="82"/>
        <v>2.2427491404134003</v>
      </c>
      <c r="X233" s="225">
        <f t="shared" ca="1" si="82"/>
        <v>2.3058996208125451</v>
      </c>
      <c r="Y233" s="225">
        <f t="shared" ca="1" si="82"/>
        <v>2.3681862095509625</v>
      </c>
      <c r="Z233" s="225">
        <f t="shared" ca="1" si="82"/>
        <v>2.4329780841054887</v>
      </c>
      <c r="AA233" s="225">
        <f t="shared" ca="1" si="83"/>
        <v>2.4986338503207417</v>
      </c>
      <c r="AB233" s="225">
        <f t="shared" ca="1" si="83"/>
        <v>2.5659310106913757</v>
      </c>
      <c r="AC233" s="225">
        <f t="shared" ca="1" si="83"/>
        <v>2.6403984718460443</v>
      </c>
      <c r="AD233" s="225">
        <f t="shared" ca="1" si="83"/>
        <v>2.7118423121881685</v>
      </c>
      <c r="AE233" s="225">
        <f t="shared" ca="1" si="83"/>
        <v>2.79088839914469</v>
      </c>
      <c r="AF233" s="225">
        <f t="shared" ca="1" si="83"/>
        <v>2.87563617106201</v>
      </c>
      <c r="AG233" s="225">
        <f t="shared" ca="1" si="83"/>
        <v>2.9654809037776193</v>
      </c>
      <c r="AH233" s="225">
        <f t="shared" ca="1" si="83"/>
        <v>3.0589539814682825</v>
      </c>
      <c r="AI233" s="225">
        <f t="shared" ca="1" si="83"/>
        <v>3.1557962366357808</v>
      </c>
      <c r="AJ233" s="225">
        <f t="shared" ca="1" si="83"/>
        <v>3.2535887726300783</v>
      </c>
      <c r="AK233" s="225">
        <f t="shared" ca="1" si="83"/>
        <v>3.35500965359943</v>
      </c>
      <c r="AL233" s="225">
        <f t="shared" ca="1" si="83"/>
        <v>3.462391387027798</v>
      </c>
      <c r="AM233" s="225">
        <f t="shared" ca="1" si="83"/>
        <v>4.0580446870990743</v>
      </c>
      <c r="AN233" s="225">
        <f t="shared" ca="1" si="83"/>
        <v>4.8094576535994307</v>
      </c>
      <c r="AO233" s="225">
        <f t="shared" ca="1" si="83"/>
        <v>6.1305639757662203</v>
      </c>
      <c r="AP233" s="225">
        <f t="shared" ca="1" si="83"/>
        <v>7.477630242337824</v>
      </c>
    </row>
    <row r="234" spans="1:42">
      <c r="A234" s="61" t="str">
        <f>'[5]TS BYDem'!A173</f>
        <v/>
      </c>
      <c r="B234" s="225" t="s">
        <v>288</v>
      </c>
      <c r="C234" s="225" t="s">
        <v>137</v>
      </c>
      <c r="D234" s="225" t="str">
        <f>'[5]TS BYDem'!D173</f>
        <v>IOTA</v>
      </c>
      <c r="E234" s="225" t="s">
        <v>137</v>
      </c>
      <c r="F234" s="225" t="s">
        <v>137</v>
      </c>
      <c r="G234" s="225" t="s">
        <v>137</v>
      </c>
      <c r="H234" s="225" t="s">
        <v>137</v>
      </c>
      <c r="I234" s="225">
        <v>0</v>
      </c>
      <c r="J234" s="225">
        <f>INDEX('[5]TS BYDem'!$J$10:$J$203,MATCH(D234,'[5]TS BYDem'!$D$10:$D$203,0))</f>
        <v>0.22789646617646991</v>
      </c>
      <c r="K234" s="225">
        <f t="shared" ca="1" si="82"/>
        <v>0.23382854828968336</v>
      </c>
      <c r="L234" s="225">
        <f t="shared" ca="1" si="82"/>
        <v>0.23771875548301416</v>
      </c>
      <c r="M234" s="232">
        <f t="shared" si="84"/>
        <v>0.12355272</v>
      </c>
      <c r="N234" s="232">
        <f t="shared" si="85"/>
        <v>0.12355272</v>
      </c>
      <c r="O234" s="232">
        <f>INDEX('[5]TS BYDem'!$O$10:$O$203,MATCH(D234,'[5]TS BYDem'!$D$10:$D$203,0))</f>
        <v>0.12355272</v>
      </c>
      <c r="P234" s="225">
        <f t="shared" ca="1" si="82"/>
        <v>0.12462904843905918</v>
      </c>
      <c r="Q234" s="225">
        <f t="shared" ca="1" si="82"/>
        <v>0.12459480162508911</v>
      </c>
      <c r="R234" s="225">
        <f t="shared" ca="1" si="82"/>
        <v>0.11264266354953673</v>
      </c>
      <c r="S234" s="225">
        <f t="shared" ca="1" si="82"/>
        <v>0.11579826283677834</v>
      </c>
      <c r="T234" s="225">
        <f t="shared" ca="1" si="82"/>
        <v>0.11868478001425517</v>
      </c>
      <c r="U234" s="225">
        <f t="shared" ca="1" si="82"/>
        <v>0.12149301875980044</v>
      </c>
      <c r="V234" s="225">
        <f t="shared" ca="1" si="82"/>
        <v>0.12418383985744835</v>
      </c>
      <c r="W234" s="225">
        <f t="shared" ca="1" si="82"/>
        <v>0.12701164821097652</v>
      </c>
      <c r="X234" s="225">
        <f t="shared" ca="1" si="82"/>
        <v>0.13058799406985036</v>
      </c>
      <c r="Y234" s="225">
        <f t="shared" ca="1" si="82"/>
        <v>0.13411541590876697</v>
      </c>
      <c r="Z234" s="225">
        <f t="shared" ca="1" si="82"/>
        <v>0.13778471740555956</v>
      </c>
      <c r="AA234" s="225">
        <f t="shared" ca="1" si="83"/>
        <v>0.14150294292230939</v>
      </c>
      <c r="AB234" s="225">
        <f t="shared" ca="1" si="83"/>
        <v>0.14531412407697794</v>
      </c>
      <c r="AC234" s="225">
        <f t="shared" ca="1" si="83"/>
        <v>0.14953137459729157</v>
      </c>
      <c r="AD234" s="225">
        <f t="shared" ca="1" si="83"/>
        <v>0.15357739104775489</v>
      </c>
      <c r="AE234" s="225">
        <f t="shared" ca="1" si="83"/>
        <v>0.15805393887384184</v>
      </c>
      <c r="AF234" s="225">
        <f t="shared" ca="1" si="83"/>
        <v>0.16285338523164652</v>
      </c>
      <c r="AG234" s="225">
        <f t="shared" ca="1" si="83"/>
        <v>0.16794148330719891</v>
      </c>
      <c r="AH234" s="225">
        <f t="shared" ca="1" si="83"/>
        <v>0.1732350622665717</v>
      </c>
      <c r="AI234" s="225">
        <f t="shared" ca="1" si="83"/>
        <v>0.1787194449037777</v>
      </c>
      <c r="AJ234" s="225">
        <f t="shared" ca="1" si="83"/>
        <v>0.18425764396293662</v>
      </c>
      <c r="AK234" s="225">
        <f t="shared" ca="1" si="83"/>
        <v>0.19000132390591598</v>
      </c>
      <c r="AL234" s="225">
        <f t="shared" ca="1" si="83"/>
        <v>0.19608257958660025</v>
      </c>
      <c r="AM234" s="225">
        <f t="shared" ca="1" si="83"/>
        <v>0.22981569134711344</v>
      </c>
      <c r="AN234" s="225">
        <f t="shared" ca="1" si="83"/>
        <v>0.27236980390591603</v>
      </c>
      <c r="AO234" s="225">
        <f t="shared" ca="1" si="83"/>
        <v>0.34718686142551713</v>
      </c>
      <c r="AP234" s="225">
        <f t="shared" ca="1" si="83"/>
        <v>0.42347408574483131</v>
      </c>
    </row>
    <row r="235" spans="1:42">
      <c r="A235" s="61" t="str">
        <f>'[5]TS BYDem'!A174</f>
        <v/>
      </c>
      <c r="B235" s="225" t="s">
        <v>288</v>
      </c>
      <c r="C235" s="225" t="s">
        <v>137</v>
      </c>
      <c r="D235" s="225" t="str">
        <f>'[5]TS BYDem'!D174</f>
        <v>IOTL</v>
      </c>
      <c r="E235" s="225" t="s">
        <v>137</v>
      </c>
      <c r="F235" s="225" t="s">
        <v>137</v>
      </c>
      <c r="G235" s="225" t="s">
        <v>137</v>
      </c>
      <c r="H235" s="225" t="s">
        <v>137</v>
      </c>
      <c r="I235" s="225">
        <v>0</v>
      </c>
      <c r="J235" s="225">
        <f>INDEX('[5]TS BYDem'!$J$10:$J$203,MATCH(D235,'[5]TS BYDem'!$D$10:$D$203,0))</f>
        <v>1.0095834302163471</v>
      </c>
      <c r="K235" s="225">
        <f t="shared" ca="1" si="82"/>
        <v>1.0358626082512781</v>
      </c>
      <c r="L235" s="225">
        <f t="shared" ca="1" si="82"/>
        <v>1.0530962617097481</v>
      </c>
      <c r="M235" s="232">
        <f t="shared" si="84"/>
        <v>0.54733968</v>
      </c>
      <c r="N235" s="232">
        <f t="shared" si="85"/>
        <v>0.54733968</v>
      </c>
      <c r="O235" s="232">
        <f>INDEX('[5]TS BYDem'!$O$10:$O$203,MATCH(D235,'[5]TS BYDem'!$D$10:$D$203,0))</f>
        <v>0.54733968</v>
      </c>
      <c r="P235" s="225">
        <f t="shared" ca="1" si="82"/>
        <v>0.55210782483250187</v>
      </c>
      <c r="Q235" s="225">
        <f t="shared" ca="1" si="82"/>
        <v>0.55195611113328591</v>
      </c>
      <c r="R235" s="225">
        <f t="shared" ca="1" si="82"/>
        <v>0.49900803010691386</v>
      </c>
      <c r="S235" s="225">
        <f t="shared" ca="1" si="82"/>
        <v>0.5129873638203849</v>
      </c>
      <c r="T235" s="225">
        <f t="shared" ca="1" si="82"/>
        <v>0.52577466132573059</v>
      </c>
      <c r="U235" s="225">
        <f t="shared" ca="1" si="82"/>
        <v>0.5382151846614398</v>
      </c>
      <c r="V235" s="225">
        <f t="shared" ca="1" si="82"/>
        <v>0.55013554674269427</v>
      </c>
      <c r="W235" s="225">
        <f t="shared" ca="1" si="82"/>
        <v>0.56266276362081258</v>
      </c>
      <c r="X235" s="225">
        <f t="shared" ca="1" si="82"/>
        <v>0.5785060084960798</v>
      </c>
      <c r="Y235" s="225">
        <f t="shared" ca="1" si="82"/>
        <v>0.5941325195153242</v>
      </c>
      <c r="Z235" s="225">
        <f t="shared" ca="1" si="82"/>
        <v>0.61038755871703487</v>
      </c>
      <c r="AA235" s="225">
        <f t="shared" ca="1" si="83"/>
        <v>0.62685933177476827</v>
      </c>
      <c r="AB235" s="225">
        <f t="shared" ca="1" si="83"/>
        <v>0.643742899158945</v>
      </c>
      <c r="AC235" s="225">
        <f t="shared" ca="1" si="83"/>
        <v>0.66242535754811105</v>
      </c>
      <c r="AD235" s="225">
        <f t="shared" ca="1" si="83"/>
        <v>0.6803492474411974</v>
      </c>
      <c r="AE235" s="225">
        <f t="shared" ca="1" si="83"/>
        <v>0.70018039526728437</v>
      </c>
      <c r="AF235" s="225">
        <f t="shared" ca="1" si="83"/>
        <v>0.72144198654312175</v>
      </c>
      <c r="AG235" s="225">
        <f t="shared" ca="1" si="83"/>
        <v>0.74398230756949379</v>
      </c>
      <c r="AH235" s="225">
        <f t="shared" ca="1" si="83"/>
        <v>0.76743291079116172</v>
      </c>
      <c r="AI235" s="225">
        <f t="shared" ca="1" si="83"/>
        <v>0.79172877605131853</v>
      </c>
      <c r="AJ235" s="225">
        <f t="shared" ca="1" si="83"/>
        <v>0.81626304855310039</v>
      </c>
      <c r="AK235" s="225">
        <f t="shared" ca="1" si="83"/>
        <v>0.84170760325017813</v>
      </c>
      <c r="AL235" s="225">
        <f t="shared" ca="1" si="83"/>
        <v>0.86864762155381325</v>
      </c>
      <c r="AM235" s="225">
        <f t="shared" ca="1" si="83"/>
        <v>1.0180856152815396</v>
      </c>
      <c r="AN235" s="225">
        <f t="shared" ca="1" si="83"/>
        <v>1.2066007232501783</v>
      </c>
      <c r="AO235" s="225">
        <f t="shared" ca="1" si="83"/>
        <v>1.5380409725730588</v>
      </c>
      <c r="AP235" s="225">
        <f t="shared" ca="1" si="83"/>
        <v>1.8759940742694166</v>
      </c>
    </row>
    <row r="236" spans="1:42">
      <c r="A236" s="61" t="str">
        <f>'[5]TS BYDem'!A175</f>
        <v/>
      </c>
      <c r="B236" s="225" t="s">
        <v>288</v>
      </c>
      <c r="C236" s="225" t="s">
        <v>137</v>
      </c>
      <c r="D236" s="225" t="str">
        <f>'[5]TS BYDem'!D175</f>
        <v>IOTC</v>
      </c>
      <c r="E236" s="225" t="s">
        <v>137</v>
      </c>
      <c r="F236" s="225" t="s">
        <v>137</v>
      </c>
      <c r="G236" s="225" t="s">
        <v>137</v>
      </c>
      <c r="H236" s="225" t="s">
        <v>137</v>
      </c>
      <c r="I236" s="225">
        <v>0</v>
      </c>
      <c r="J236" s="225">
        <f>INDEX('[5]TS BYDem'!$J$10:$J$203,MATCH(D236,'[5]TS BYDem'!$D$10:$D$203,0))</f>
        <v>4.2868722274366169</v>
      </c>
      <c r="K236" s="225">
        <f t="shared" ca="1" si="82"/>
        <v>4.3984583283036507</v>
      </c>
      <c r="L236" s="225">
        <f t="shared" ca="1" si="82"/>
        <v>4.4716355102751804</v>
      </c>
      <c r="M236" s="232">
        <f t="shared" si="84"/>
        <v>2.3241024000000006</v>
      </c>
      <c r="N236" s="232">
        <f t="shared" si="85"/>
        <v>2.3241024000000006</v>
      </c>
      <c r="O236" s="232">
        <f>INDEX('[5]TS BYDem'!$O$10:$O$203,MATCH(D236,'[5]TS BYDem'!$D$10:$D$203,0))</f>
        <v>2.3241024000000006</v>
      </c>
      <c r="P236" s="225">
        <f t="shared" ca="1" si="82"/>
        <v>2.3443487977191744</v>
      </c>
      <c r="Q236" s="225">
        <f t="shared" ca="1" si="82"/>
        <v>2.3437045941553825</v>
      </c>
      <c r="R236" s="225">
        <f t="shared" ca="1" si="82"/>
        <v>2.1188775503920181</v>
      </c>
      <c r="S236" s="225">
        <f t="shared" ca="1" si="82"/>
        <v>2.1782363073414119</v>
      </c>
      <c r="T236" s="225">
        <f t="shared" ca="1" si="82"/>
        <v>2.2325334648610125</v>
      </c>
      <c r="U236" s="225">
        <f t="shared" ca="1" si="82"/>
        <v>2.2853581570919466</v>
      </c>
      <c r="V236" s="225">
        <f t="shared" ca="1" si="82"/>
        <v>2.33597415138988</v>
      </c>
      <c r="W236" s="225">
        <f t="shared" ca="1" si="82"/>
        <v>2.3891669599429806</v>
      </c>
      <c r="X236" s="225">
        <f t="shared" ca="1" si="82"/>
        <v>2.4564402178189604</v>
      </c>
      <c r="Y236" s="225">
        <f t="shared" ca="1" si="82"/>
        <v>2.5227931848895233</v>
      </c>
      <c r="Z236" s="225">
        <f t="shared" ca="1" si="82"/>
        <v>2.5918149952957958</v>
      </c>
      <c r="AA236" s="225">
        <f t="shared" ca="1" si="83"/>
        <v>2.6617570965074853</v>
      </c>
      <c r="AB236" s="225">
        <f t="shared" ca="1" si="83"/>
        <v>2.7334477502494665</v>
      </c>
      <c r="AC236" s="225">
        <f t="shared" ca="1" si="83"/>
        <v>2.8127768176764087</v>
      </c>
      <c r="AD236" s="225">
        <f t="shared" ca="1" si="83"/>
        <v>2.8888848672843919</v>
      </c>
      <c r="AE236" s="225">
        <f t="shared" ca="1" si="83"/>
        <v>2.973091475980044</v>
      </c>
      <c r="AF236" s="225">
        <f t="shared" ca="1" si="83"/>
        <v>3.0633720039914478</v>
      </c>
      <c r="AG236" s="225">
        <f t="shared" ca="1" si="83"/>
        <v>3.1590822477548119</v>
      </c>
      <c r="AH236" s="225">
        <f t="shared" ca="1" si="83"/>
        <v>3.2586577129009275</v>
      </c>
      <c r="AI236" s="225">
        <f t="shared" ca="1" si="83"/>
        <v>3.3618223121881696</v>
      </c>
      <c r="AJ236" s="225">
        <f t="shared" ca="1" si="83"/>
        <v>3.4659992313613697</v>
      </c>
      <c r="AK236" s="225">
        <f t="shared" ca="1" si="83"/>
        <v>3.5740413719173216</v>
      </c>
      <c r="AL236" s="225">
        <f t="shared" ca="1" si="83"/>
        <v>3.6884335190306508</v>
      </c>
      <c r="AM236" s="225">
        <f t="shared" ca="1" si="83"/>
        <v>4.3229740293656471</v>
      </c>
      <c r="AN236" s="225">
        <f t="shared" ca="1" si="83"/>
        <v>5.1234429719173225</v>
      </c>
      <c r="AO236" s="225">
        <f t="shared" ca="1" si="83"/>
        <v>6.5307976861012191</v>
      </c>
      <c r="AP236" s="225">
        <f t="shared" ca="1" si="83"/>
        <v>7.9658071389878602</v>
      </c>
    </row>
    <row r="237" spans="1:42">
      <c r="A237" s="61" t="str">
        <f>'[5]TS BYDem'!A176</f>
        <v/>
      </c>
      <c r="B237" s="225" t="s">
        <v>288</v>
      </c>
      <c r="C237" s="225" t="s">
        <v>137</v>
      </c>
      <c r="D237" s="225" t="str">
        <f>'[5]TS BYDem'!D176</f>
        <v>IOTH</v>
      </c>
      <c r="E237" s="225" t="s">
        <v>137</v>
      </c>
      <c r="F237" s="225" t="s">
        <v>137</v>
      </c>
      <c r="G237" s="225" t="s">
        <v>137</v>
      </c>
      <c r="H237" s="225" t="s">
        <v>137</v>
      </c>
      <c r="I237" s="225">
        <v>0</v>
      </c>
      <c r="J237" s="225">
        <f>INDEX('[5]TS BYDem'!$J$10:$J$203,MATCH(D237,'[5]TS BYDem'!$D$10:$D$203,0))</f>
        <v>3.1863804172999206</v>
      </c>
      <c r="K237" s="225">
        <f t="shared" ca="1" si="82"/>
        <v>3.269321020094182</v>
      </c>
      <c r="L237" s="225">
        <f t="shared" ca="1" si="82"/>
        <v>3.3237127367716583</v>
      </c>
      <c r="M237" s="232">
        <f t="shared" si="84"/>
        <v>1.7274772800000002</v>
      </c>
      <c r="N237" s="232">
        <f t="shared" si="85"/>
        <v>1.7274772800000002</v>
      </c>
      <c r="O237" s="232">
        <f>INDEX('[5]TS BYDem'!$O$10:$O$203,MATCH(D237,'[5]TS BYDem'!$D$10:$D$203,0))</f>
        <v>1.7274772800000002</v>
      </c>
      <c r="P237" s="225">
        <f t="shared" ca="1" si="82"/>
        <v>1.7425261832074133</v>
      </c>
      <c r="Q237" s="225">
        <f t="shared" ca="1" si="82"/>
        <v>1.7420473544689956</v>
      </c>
      <c r="R237" s="225">
        <f t="shared" ca="1" si="82"/>
        <v>1.5749361247612266</v>
      </c>
      <c r="S237" s="225">
        <f t="shared" ca="1" si="82"/>
        <v>1.6190567728011409</v>
      </c>
      <c r="T237" s="225">
        <f t="shared" ca="1" si="82"/>
        <v>1.6594151950392022</v>
      </c>
      <c r="U237" s="225">
        <f t="shared" ca="1" si="82"/>
        <v>1.6986791515894519</v>
      </c>
      <c r="V237" s="225">
        <f t="shared" ca="1" si="82"/>
        <v>1.7363014096079838</v>
      </c>
      <c r="W237" s="225">
        <f t="shared" ca="1" si="82"/>
        <v>1.7758389825801864</v>
      </c>
      <c r="X237" s="225">
        <f t="shared" ca="1" si="82"/>
        <v>1.8258423836920894</v>
      </c>
      <c r="Y237" s="225">
        <f t="shared" ca="1" si="82"/>
        <v>1.8751617437491099</v>
      </c>
      <c r="Z237" s="225">
        <f t="shared" ca="1" si="82"/>
        <v>1.9264648228652896</v>
      </c>
      <c r="AA237" s="225">
        <f t="shared" ca="1" si="83"/>
        <v>1.9784519430363516</v>
      </c>
      <c r="AB237" s="225">
        <f t="shared" ca="1" si="83"/>
        <v>2.0317387412116901</v>
      </c>
      <c r="AC237" s="225">
        <f t="shared" ca="1" si="83"/>
        <v>2.0907030801425526</v>
      </c>
      <c r="AD237" s="225">
        <f t="shared" ca="1" si="83"/>
        <v>2.1472732753813268</v>
      </c>
      <c r="AE237" s="225">
        <f t="shared" ca="1" si="83"/>
        <v>2.2098630319030659</v>
      </c>
      <c r="AF237" s="225">
        <f t="shared" ca="1" si="83"/>
        <v>2.2769674593870288</v>
      </c>
      <c r="AG237" s="225">
        <f t="shared" ca="1" si="83"/>
        <v>2.348107729094798</v>
      </c>
      <c r="AH237" s="225">
        <f t="shared" ca="1" si="83"/>
        <v>2.4221209712330736</v>
      </c>
      <c r="AI237" s="225">
        <f t="shared" ca="1" si="83"/>
        <v>2.4988019734853903</v>
      </c>
      <c r="AJ237" s="225">
        <f t="shared" ca="1" si="83"/>
        <v>2.5762354208980773</v>
      </c>
      <c r="AK237" s="225">
        <f t="shared" ca="1" si="83"/>
        <v>2.6565418407412706</v>
      </c>
      <c r="AL237" s="225">
        <f t="shared" ca="1" si="83"/>
        <v>2.7415681438631525</v>
      </c>
      <c r="AM237" s="225">
        <f t="shared" ca="1" si="83"/>
        <v>3.2132144512045642</v>
      </c>
      <c r="AN237" s="225">
        <f t="shared" ca="1" si="83"/>
        <v>3.8081933607412717</v>
      </c>
      <c r="AO237" s="225">
        <f t="shared" ca="1" si="83"/>
        <v>4.8542631439201775</v>
      </c>
      <c r="AP237" s="225">
        <f t="shared" ca="1" si="83"/>
        <v>5.9208883607982736</v>
      </c>
    </row>
    <row r="238" spans="1:42">
      <c r="A238" s="61" t="str">
        <f>'[5]TS BYDem'!A177</f>
        <v/>
      </c>
      <c r="B238" s="225" t="s">
        <v>288</v>
      </c>
      <c r="C238" s="225" t="s">
        <v>137</v>
      </c>
      <c r="D238" s="225" t="str">
        <f>'[5]TS BYDem'!D177</f>
        <v>IOTP</v>
      </c>
      <c r="E238" s="225" t="s">
        <v>137</v>
      </c>
      <c r="F238" s="225" t="s">
        <v>137</v>
      </c>
      <c r="G238" s="225" t="s">
        <v>137</v>
      </c>
      <c r="H238" s="225" t="s">
        <v>137</v>
      </c>
      <c r="I238" s="225">
        <v>0</v>
      </c>
      <c r="J238" s="225">
        <f>INDEX('[5]TS BYDem'!$J$10:$J$203,MATCH(D238,'[5]TS BYDem'!$D$10:$D$203,0))</f>
        <v>4.3369135374845138</v>
      </c>
      <c r="K238" s="225">
        <f t="shared" ca="1" si="82"/>
        <v>4.4498021998402679</v>
      </c>
      <c r="L238" s="225">
        <f t="shared" ca="1" si="82"/>
        <v>4.5238335901616598</v>
      </c>
      <c r="M238" s="232">
        <f t="shared" si="84"/>
        <v>2.3512320000000004</v>
      </c>
      <c r="N238" s="232">
        <f t="shared" si="85"/>
        <v>2.3512320000000004</v>
      </c>
      <c r="O238" s="232">
        <f>INDEX('[5]TS BYDem'!$O$10:$O$203,MATCH(D238,'[5]TS BYDem'!$D$10:$D$203,0))</f>
        <v>2.3512320000000004</v>
      </c>
      <c r="P238" s="225">
        <f t="shared" ca="1" si="82"/>
        <v>2.3717147369921605</v>
      </c>
      <c r="Q238" s="225">
        <f t="shared" ca="1" si="82"/>
        <v>2.3710630135424098</v>
      </c>
      <c r="R238" s="225">
        <f t="shared" ca="1" si="82"/>
        <v>2.1436115295794731</v>
      </c>
      <c r="S238" s="225">
        <f t="shared" ca="1" si="82"/>
        <v>2.2036631903064863</v>
      </c>
      <c r="T238" s="225">
        <f t="shared" ca="1" si="82"/>
        <v>2.2585941667854597</v>
      </c>
      <c r="U238" s="225">
        <f t="shared" ca="1" si="82"/>
        <v>2.3120354896650039</v>
      </c>
      <c r="V238" s="225">
        <f t="shared" ca="1" si="82"/>
        <v>2.3632423321454032</v>
      </c>
      <c r="W238" s="225">
        <f t="shared" ca="1" si="82"/>
        <v>2.4170560684248046</v>
      </c>
      <c r="X238" s="225">
        <f t="shared" ca="1" si="82"/>
        <v>2.4851146172487533</v>
      </c>
      <c r="Y238" s="225">
        <f t="shared" ca="1" si="82"/>
        <v>2.552242132573058</v>
      </c>
      <c r="Z238" s="225">
        <f t="shared" ca="1" si="82"/>
        <v>2.6220696450463299</v>
      </c>
      <c r="AA238" s="225">
        <f t="shared" ca="1" si="83"/>
        <v>2.6928281910192449</v>
      </c>
      <c r="AB238" s="225">
        <f t="shared" ca="1" si="83"/>
        <v>2.7653557006414826</v>
      </c>
      <c r="AC238" s="225">
        <f t="shared" ca="1" si="83"/>
        <v>2.8456107883107631</v>
      </c>
      <c r="AD238" s="225">
        <f t="shared" ca="1" si="83"/>
        <v>2.9226072587312908</v>
      </c>
      <c r="AE238" s="225">
        <f t="shared" ca="1" si="83"/>
        <v>3.0077968239486821</v>
      </c>
      <c r="AF238" s="225">
        <f t="shared" ca="1" si="83"/>
        <v>3.099131210263721</v>
      </c>
      <c r="AG238" s="225">
        <f t="shared" ca="1" si="83"/>
        <v>3.1959586942266576</v>
      </c>
      <c r="AH238" s="225">
        <f t="shared" ca="1" si="83"/>
        <v>3.2966965188880977</v>
      </c>
      <c r="AI238" s="225">
        <f t="shared" ca="1" si="83"/>
        <v>3.401065374198148</v>
      </c>
      <c r="AJ238" s="225">
        <f t="shared" ca="1" si="83"/>
        <v>3.5064583663578057</v>
      </c>
      <c r="AK238" s="225">
        <f t="shared" ca="1" si="83"/>
        <v>3.6157616992159674</v>
      </c>
      <c r="AL238" s="225">
        <f t="shared" ca="1" si="83"/>
        <v>3.7314891632216698</v>
      </c>
      <c r="AM238" s="225">
        <f t="shared" ca="1" si="83"/>
        <v>4.373436761225947</v>
      </c>
      <c r="AN238" s="225">
        <f t="shared" ca="1" si="83"/>
        <v>5.1832496992159687</v>
      </c>
      <c r="AO238" s="225">
        <f t="shared" ca="1" si="83"/>
        <v>6.6070326785459805</v>
      </c>
      <c r="AP238" s="225">
        <f t="shared" ca="1" si="83"/>
        <v>8.0587932145402483</v>
      </c>
    </row>
    <row r="239" spans="1:42">
      <c r="A239" s="61" t="str">
        <f>'[5]TS BYDem'!A178</f>
        <v/>
      </c>
      <c r="B239" s="225" t="s">
        <v>288</v>
      </c>
      <c r="C239" s="225" t="s">
        <v>137</v>
      </c>
      <c r="D239" s="225" t="str">
        <f>'[5]TS BYDem'!D178</f>
        <v>IOTF</v>
      </c>
      <c r="E239" s="225" t="s">
        <v>137</v>
      </c>
      <c r="F239" s="225" t="s">
        <v>137</v>
      </c>
      <c r="G239" s="225" t="s">
        <v>137</v>
      </c>
      <c r="H239" s="225" t="s">
        <v>137</v>
      </c>
      <c r="I239" s="225">
        <v>0</v>
      </c>
      <c r="J239" s="225">
        <f>INDEX('[5]TS BYDem'!$J$10:$J$203,MATCH(D239,'[5]TS BYDem'!$D$10:$D$203,0))</f>
        <v>1.8465243407674456</v>
      </c>
      <c r="K239" s="225">
        <f t="shared" ca="1" si="82"/>
        <v>1.8945888597012226</v>
      </c>
      <c r="L239" s="225">
        <f t="shared" ca="1" si="82"/>
        <v>1.9261091478111381</v>
      </c>
      <c r="M239" s="232">
        <f t="shared" si="84"/>
        <v>1.0010822400000001</v>
      </c>
      <c r="N239" s="232">
        <f t="shared" si="85"/>
        <v>1.0010822400000001</v>
      </c>
      <c r="O239" s="232">
        <f>INDEX('[5]TS BYDem'!$O$10:$O$203,MATCH(D239,'[5]TS BYDem'!$D$10:$D$203,0))</f>
        <v>1.0010822400000001</v>
      </c>
      <c r="P239" s="225">
        <f t="shared" ca="1" si="82"/>
        <v>1.0098031591732006</v>
      </c>
      <c r="Q239" s="225">
        <f t="shared" ca="1" si="82"/>
        <v>1.009525675381326</v>
      </c>
      <c r="R239" s="225">
        <f t="shared" ca="1" si="82"/>
        <v>0.91268383201710646</v>
      </c>
      <c r="S239" s="225">
        <f t="shared" ca="1" si="82"/>
        <v>0.93825198141126176</v>
      </c>
      <c r="T239" s="225">
        <f t="shared" ca="1" si="82"/>
        <v>0.96163990101211705</v>
      </c>
      <c r="U239" s="225">
        <f t="shared" ca="1" si="82"/>
        <v>0.98439357194583066</v>
      </c>
      <c r="V239" s="225">
        <f t="shared" ca="1" si="82"/>
        <v>1.0061958698788316</v>
      </c>
      <c r="W239" s="225">
        <f t="shared" ca="1" si="82"/>
        <v>1.0291081029793305</v>
      </c>
      <c r="X239" s="225">
        <f t="shared" ca="1" si="82"/>
        <v>1.0580853389593732</v>
      </c>
      <c r="Y239" s="225">
        <f t="shared" ca="1" si="82"/>
        <v>1.0866661695224522</v>
      </c>
      <c r="Z239" s="225">
        <f t="shared" ca="1" si="82"/>
        <v>1.1163965757947261</v>
      </c>
      <c r="AA239" s="225">
        <f t="shared" ca="1" si="83"/>
        <v>1.1465233874839633</v>
      </c>
      <c r="AB239" s="225">
        <f t="shared" ca="1" si="83"/>
        <v>1.1774033694654316</v>
      </c>
      <c r="AC239" s="225">
        <f t="shared" ca="1" si="83"/>
        <v>1.2115735164076982</v>
      </c>
      <c r="AD239" s="225">
        <f t="shared" ca="1" si="83"/>
        <v>1.2443562443905922</v>
      </c>
      <c r="AE239" s="225">
        <f t="shared" ca="1" si="83"/>
        <v>1.2806273400427661</v>
      </c>
      <c r="AF239" s="225">
        <f t="shared" ca="1" si="83"/>
        <v>1.3195147114469001</v>
      </c>
      <c r="AG239" s="225">
        <f t="shared" ca="1" si="83"/>
        <v>1.3607408748111196</v>
      </c>
      <c r="AH239" s="225">
        <f t="shared" ca="1" si="83"/>
        <v>1.4036319409265865</v>
      </c>
      <c r="AI239" s="225">
        <f t="shared" ca="1" si="83"/>
        <v>1.4480689881682116</v>
      </c>
      <c r="AJ239" s="225">
        <f t="shared" ca="1" si="83"/>
        <v>1.4929420813684966</v>
      </c>
      <c r="AK239" s="225">
        <f t="shared" ca="1" si="83"/>
        <v>1.5394800773200292</v>
      </c>
      <c r="AL239" s="225">
        <f t="shared" ca="1" si="83"/>
        <v>1.5887532706486109</v>
      </c>
      <c r="AM239" s="225">
        <f t="shared" ca="1" si="83"/>
        <v>1.8620748056450473</v>
      </c>
      <c r="AN239" s="225">
        <f t="shared" ca="1" si="83"/>
        <v>2.2068682373200299</v>
      </c>
      <c r="AO239" s="225">
        <f t="shared" ca="1" si="83"/>
        <v>2.8130712212116928</v>
      </c>
      <c r="AP239" s="225">
        <f t="shared" ca="1" si="83"/>
        <v>3.4311861878830983</v>
      </c>
    </row>
    <row r="240" spans="1:42">
      <c r="A240" s="61" t="str">
        <f>'[5]TS BYDem'!A179</f>
        <v/>
      </c>
      <c r="B240" s="225" t="s">
        <v>288</v>
      </c>
      <c r="C240" s="225" t="s">
        <v>137</v>
      </c>
      <c r="D240" s="225" t="str">
        <f>'[5]TS BYDem'!D179</f>
        <v>IOTO</v>
      </c>
      <c r="E240" s="225" t="s">
        <v>137</v>
      </c>
      <c r="F240" s="225" t="s">
        <v>137</v>
      </c>
      <c r="G240" s="225" t="s">
        <v>137</v>
      </c>
      <c r="H240" s="225" t="s">
        <v>137</v>
      </c>
      <c r="I240" s="225">
        <v>0</v>
      </c>
      <c r="J240" s="225">
        <f>INDEX('[5]TS BYDem'!$J$10:$J$203,MATCH(D240,'[5]TS BYDem'!$D$10:$D$203,0))</f>
        <v>12.304490923310874</v>
      </c>
      <c r="K240" s="225">
        <f t="shared" ca="1" si="82"/>
        <v>12.624773425900665</v>
      </c>
      <c r="L240" s="225">
        <f t="shared" ca="1" si="82"/>
        <v>12.834811869687117</v>
      </c>
      <c r="M240" s="232">
        <f t="shared" si="84"/>
        <v>6.6708069120000006</v>
      </c>
      <c r="N240" s="232">
        <f t="shared" si="85"/>
        <v>6.6708069120000006</v>
      </c>
      <c r="O240" s="232">
        <f>INDEX('[5]TS BYDem'!$O$10:$O$203,MATCH(D240,'[5]TS BYDem'!$D$10:$D$203,0))</f>
        <v>6.6708069120000006</v>
      </c>
      <c r="P240" s="225">
        <f t="shared" ca="1" si="82"/>
        <v>6.7289195880370656</v>
      </c>
      <c r="Q240" s="225">
        <f t="shared" ca="1" si="82"/>
        <v>6.7270705483449769</v>
      </c>
      <c r="R240" s="225">
        <f t="shared" ca="1" si="82"/>
        <v>6.0817556958061312</v>
      </c>
      <c r="S240" s="225">
        <f t="shared" ca="1" si="82"/>
        <v>6.2521314960057026</v>
      </c>
      <c r="T240" s="225">
        <f t="shared" ca="1" si="82"/>
        <v>6.4079791271960085</v>
      </c>
      <c r="U240" s="225">
        <f t="shared" ca="1" si="82"/>
        <v>6.5596003819472566</v>
      </c>
      <c r="V240" s="225">
        <f t="shared" ca="1" si="82"/>
        <v>6.7048820720399158</v>
      </c>
      <c r="W240" s="225">
        <f t="shared" ca="1" si="82"/>
        <v>6.8575599209009281</v>
      </c>
      <c r="X240" s="225">
        <f t="shared" ca="1" si="82"/>
        <v>7.0506524944604427</v>
      </c>
      <c r="Y240" s="225">
        <f t="shared" ca="1" si="82"/>
        <v>7.241103582745545</v>
      </c>
      <c r="Z240" s="225">
        <f t="shared" ca="1" si="82"/>
        <v>7.4392149783264436</v>
      </c>
      <c r="AA240" s="225">
        <f t="shared" ca="1" si="83"/>
        <v>7.6399678591817537</v>
      </c>
      <c r="AB240" s="225">
        <f t="shared" ca="1" si="83"/>
        <v>7.845739562058446</v>
      </c>
      <c r="AC240" s="225">
        <f t="shared" ca="1" si="83"/>
        <v>8.0734355927127588</v>
      </c>
      <c r="AD240" s="225">
        <f t="shared" ca="1" si="83"/>
        <v>8.2918864249066306</v>
      </c>
      <c r="AE240" s="225">
        <f t="shared" ca="1" si="83"/>
        <v>8.533582327515326</v>
      </c>
      <c r="AF240" s="225">
        <f t="shared" ca="1" si="83"/>
        <v>8.7927120329351407</v>
      </c>
      <c r="AG240" s="225">
        <f t="shared" ca="1" si="83"/>
        <v>9.0674265014739852</v>
      </c>
      <c r="AH240" s="225">
        <f t="shared" ca="1" si="83"/>
        <v>9.353235208165362</v>
      </c>
      <c r="AI240" s="225">
        <f t="shared" ca="1" si="83"/>
        <v>9.6493457074269458</v>
      </c>
      <c r="AJ240" s="225">
        <f t="shared" ca="1" si="83"/>
        <v>9.9483618404903797</v>
      </c>
      <c r="AK240" s="225">
        <f t="shared" ca="1" si="83"/>
        <v>10.258472211706346</v>
      </c>
      <c r="AL240" s="225">
        <f t="shared" ca="1" si="83"/>
        <v>10.586808831315755</v>
      </c>
      <c r="AM240" s="225">
        <f t="shared" ca="1" si="83"/>
        <v>12.408112928022812</v>
      </c>
      <c r="AN240" s="225">
        <f t="shared" ca="1" si="83"/>
        <v>14.705676819706348</v>
      </c>
      <c r="AO240" s="225">
        <f t="shared" ca="1" si="83"/>
        <v>18.74516817560087</v>
      </c>
      <c r="AP240" s="225">
        <f t="shared" ca="1" si="83"/>
        <v>22.864036163991376</v>
      </c>
    </row>
    <row r="241" spans="1:42">
      <c r="A241" s="61" t="str">
        <f>'[5]TS BYDem'!A180</f>
        <v/>
      </c>
      <c r="B241" s="225" t="s">
        <v>288</v>
      </c>
      <c r="C241" s="225" t="s">
        <v>137</v>
      </c>
      <c r="D241" s="225" t="str">
        <f>'[5]TS BYDem'!D180</f>
        <v>IOTE</v>
      </c>
      <c r="E241" s="225" t="s">
        <v>137</v>
      </c>
      <c r="F241" s="225" t="s">
        <v>137</v>
      </c>
      <c r="G241" s="225" t="s">
        <v>137</v>
      </c>
      <c r="H241" s="225" t="s">
        <v>137</v>
      </c>
      <c r="I241" s="225">
        <v>0</v>
      </c>
      <c r="J241" s="225">
        <f>INDEX('[5]TS BYDem'!$J$10:$J$203,MATCH(D241,'[5]TS BYDem'!$D$10:$D$203,0))</f>
        <v>0.41264064265496897</v>
      </c>
      <c r="K241" s="225">
        <f t="shared" ca="1" si="82"/>
        <v>0.42338156469095606</v>
      </c>
      <c r="L241" s="225">
        <f t="shared" ca="1" si="82"/>
        <v>0.43042536674391985</v>
      </c>
      <c r="M241" s="232">
        <f t="shared" si="84"/>
        <v>0.22371068160000002</v>
      </c>
      <c r="N241" s="232">
        <f t="shared" si="85"/>
        <v>0.22371068160000002</v>
      </c>
      <c r="O241" s="232">
        <f>INDEX('[5]TS BYDem'!$O$10:$O$203,MATCH(D241,'[5]TS BYDem'!$D$10:$D$203,0))</f>
        <v>0.22371068160000002</v>
      </c>
      <c r="P241" s="225">
        <f t="shared" ca="1" si="82"/>
        <v>0.22565953524504639</v>
      </c>
      <c r="Q241" s="225">
        <f t="shared" ca="1" si="82"/>
        <v>0.22559752626543128</v>
      </c>
      <c r="R241" s="225">
        <f t="shared" ca="1" si="82"/>
        <v>0.20395639237975771</v>
      </c>
      <c r="S241" s="225">
        <f t="shared" ca="1" si="82"/>
        <v>0.20967007693000717</v>
      </c>
      <c r="T241" s="225">
        <f t="shared" ca="1" si="82"/>
        <v>0.21489654806899502</v>
      </c>
      <c r="U241" s="225">
        <f t="shared" ca="1" si="82"/>
        <v>0.21998128439743411</v>
      </c>
      <c r="V241" s="225">
        <f t="shared" ca="1" si="82"/>
        <v>0.22485341851004997</v>
      </c>
      <c r="W241" s="225">
        <f t="shared" ca="1" si="82"/>
        <v>0.22997358854112623</v>
      </c>
      <c r="X241" s="225">
        <f t="shared" ca="1" si="82"/>
        <v>0.23644909769807562</v>
      </c>
      <c r="Y241" s="225">
        <f t="shared" ca="1" si="82"/>
        <v>0.24283602259843198</v>
      </c>
      <c r="Z241" s="225">
        <f t="shared" ca="1" si="82"/>
        <v>0.24947984184290814</v>
      </c>
      <c r="AA241" s="225">
        <f t="shared" ca="1" si="83"/>
        <v>0.2562122453439773</v>
      </c>
      <c r="AB241" s="225">
        <f t="shared" ca="1" si="83"/>
        <v>0.26311295893257314</v>
      </c>
      <c r="AC241" s="225">
        <f t="shared" ca="1" si="83"/>
        <v>0.27074892185089106</v>
      </c>
      <c r="AD241" s="225">
        <f t="shared" ca="1" si="83"/>
        <v>0.27807483987113346</v>
      </c>
      <c r="AE241" s="225">
        <f t="shared" ca="1" si="83"/>
        <v>0.28618029934939432</v>
      </c>
      <c r="AF241" s="225">
        <f t="shared" ca="1" si="83"/>
        <v>0.29487041492116906</v>
      </c>
      <c r="AG241" s="225">
        <f t="shared" ca="1" si="83"/>
        <v>0.30408317760684261</v>
      </c>
      <c r="AH241" s="225">
        <f t="shared" ca="1" si="83"/>
        <v>0.31366799417020685</v>
      </c>
      <c r="AI241" s="225">
        <f t="shared" ca="1" si="83"/>
        <v>0.32359828933428386</v>
      </c>
      <c r="AJ241" s="225">
        <f t="shared" ca="1" si="83"/>
        <v>0.33362602718061313</v>
      </c>
      <c r="AK241" s="225">
        <f t="shared" ca="1" si="83"/>
        <v>0.34402581890463313</v>
      </c>
      <c r="AL241" s="225">
        <f t="shared" ca="1" si="83"/>
        <v>0.35503684199914493</v>
      </c>
      <c r="AM241" s="225">
        <f t="shared" ca="1" si="83"/>
        <v>0.41611568692002876</v>
      </c>
      <c r="AN241" s="225">
        <f t="shared" ca="1" si="83"/>
        <v>0.49316627330463325</v>
      </c>
      <c r="AO241" s="225">
        <f t="shared" ca="1" si="83"/>
        <v>0.62863374769950187</v>
      </c>
      <c r="AP241" s="225">
        <f t="shared" ca="1" si="83"/>
        <v>0.76676317900498725</v>
      </c>
    </row>
    <row r="242" spans="1:42">
      <c r="A242" s="61" t="str">
        <f>'[5]TS BYDem'!A181</f>
        <v>*</v>
      </c>
      <c r="B242" s="225" t="s">
        <v>288</v>
      </c>
      <c r="C242" s="225" t="s">
        <v>137</v>
      </c>
      <c r="D242" s="225" t="str">
        <f>'[5]TS BYDem'!D181</f>
        <v xml:space="preserve"> </v>
      </c>
      <c r="E242" s="225" t="s">
        <v>137</v>
      </c>
      <c r="F242" s="225" t="s">
        <v>137</v>
      </c>
      <c r="G242" s="225" t="s">
        <v>137</v>
      </c>
      <c r="H242" s="225" t="s">
        <v>137</v>
      </c>
      <c r="I242" s="225">
        <v>0</v>
      </c>
      <c r="J242" s="225" t="str">
        <f>INDEX('[5]TS BYDem'!$J$10:$J$203,MATCH(D242,'[5]TS BYDem'!$D$10:$D$203,0))</f>
        <v/>
      </c>
      <c r="K242" s="225" t="e">
        <f t="shared" ca="1" si="82"/>
        <v>#VALUE!</v>
      </c>
      <c r="L242" s="225" t="e">
        <f t="shared" ca="1" si="82"/>
        <v>#VALUE!</v>
      </c>
      <c r="M242" s="225" t="e">
        <f t="shared" ca="1" si="82"/>
        <v>#VALUE!</v>
      </c>
      <c r="N242" s="225" t="e">
        <f t="shared" ca="1" si="82"/>
        <v>#VALUE!</v>
      </c>
      <c r="O242" s="225" t="e">
        <f t="shared" ca="1" si="82"/>
        <v>#VALUE!</v>
      </c>
      <c r="P242" s="225" t="e">
        <f t="shared" ca="1" si="82"/>
        <v>#VALUE!</v>
      </c>
      <c r="Q242" s="225" t="e">
        <f t="shared" ca="1" si="82"/>
        <v>#VALUE!</v>
      </c>
      <c r="R242" s="225" t="e">
        <f t="shared" ca="1" si="82"/>
        <v>#VALUE!</v>
      </c>
      <c r="S242" s="225" t="e">
        <f t="shared" ca="1" si="82"/>
        <v>#VALUE!</v>
      </c>
      <c r="T242" s="225" t="e">
        <f t="shared" ca="1" si="82"/>
        <v>#VALUE!</v>
      </c>
      <c r="U242" s="225" t="e">
        <f t="shared" ca="1" si="82"/>
        <v>#VALUE!</v>
      </c>
      <c r="V242" s="225" t="e">
        <f t="shared" ca="1" si="82"/>
        <v>#VALUE!</v>
      </c>
      <c r="W242" s="225" t="e">
        <f t="shared" ca="1" si="82"/>
        <v>#VALUE!</v>
      </c>
      <c r="X242" s="225" t="e">
        <f t="shared" ca="1" si="82"/>
        <v>#VALUE!</v>
      </c>
      <c r="Y242" s="225" t="e">
        <f t="shared" ca="1" si="82"/>
        <v>#VALUE!</v>
      </c>
      <c r="Z242" s="225" t="e">
        <f t="shared" ca="1" si="82"/>
        <v>#VALUE!</v>
      </c>
      <c r="AA242" s="225" t="e">
        <f t="shared" ca="1" si="83"/>
        <v>#VALUE!</v>
      </c>
      <c r="AB242" s="225" t="e">
        <f t="shared" ca="1" si="83"/>
        <v>#VALUE!</v>
      </c>
      <c r="AC242" s="225" t="e">
        <f t="shared" ca="1" si="83"/>
        <v>#VALUE!</v>
      </c>
      <c r="AD242" s="225" t="e">
        <f t="shared" ca="1" si="83"/>
        <v>#VALUE!</v>
      </c>
      <c r="AE242" s="225" t="e">
        <f t="shared" ca="1" si="83"/>
        <v>#VALUE!</v>
      </c>
      <c r="AF242" s="225" t="e">
        <f t="shared" ca="1" si="83"/>
        <v>#VALUE!</v>
      </c>
      <c r="AG242" s="225" t="e">
        <f t="shared" ca="1" si="83"/>
        <v>#VALUE!</v>
      </c>
      <c r="AH242" s="225" t="e">
        <f t="shared" ca="1" si="83"/>
        <v>#VALUE!</v>
      </c>
      <c r="AI242" s="225" t="e">
        <f t="shared" ca="1" si="83"/>
        <v>#VALUE!</v>
      </c>
      <c r="AJ242" s="225" t="e">
        <f t="shared" ca="1" si="83"/>
        <v>#VALUE!</v>
      </c>
      <c r="AK242" s="225" t="e">
        <f t="shared" ca="1" si="83"/>
        <v>#VALUE!</v>
      </c>
      <c r="AL242" s="225" t="e">
        <f t="shared" ca="1" si="83"/>
        <v>#VALUE!</v>
      </c>
      <c r="AM242" s="225" t="e">
        <f t="shared" ca="1" si="83"/>
        <v>#VALUE!</v>
      </c>
      <c r="AN242" s="225" t="e">
        <f t="shared" ca="1" si="83"/>
        <v>#VALUE!</v>
      </c>
      <c r="AO242" s="225" t="e">
        <f t="shared" ca="1" si="83"/>
        <v>#VALUE!</v>
      </c>
      <c r="AP242" s="225" t="e">
        <f t="shared" ca="1" si="83"/>
        <v>#VALUE!</v>
      </c>
    </row>
    <row r="243" spans="1:42">
      <c r="A243" s="61" t="str">
        <f>'[5]TS BYDem'!A182</f>
        <v/>
      </c>
      <c r="B243" s="225" t="s">
        <v>288</v>
      </c>
      <c r="C243" s="225" t="s">
        <v>137</v>
      </c>
      <c r="D243" s="225" t="str">
        <f>'[5]TS BYDem'!D182</f>
        <v>IOTS</v>
      </c>
      <c r="E243" s="225" t="s">
        <v>137</v>
      </c>
      <c r="F243" s="225" t="s">
        <v>137</v>
      </c>
      <c r="G243" s="225" t="s">
        <v>137</v>
      </c>
      <c r="H243" s="225" t="s">
        <v>137</v>
      </c>
      <c r="I243" s="225">
        <v>0</v>
      </c>
      <c r="J243" s="225">
        <f>INDEX('[5]TS BYDem'!$J$10:$J$203,MATCH(D243,'[5]TS BYDem'!$D$10:$D$203,0))</f>
        <v>73.690487252999532</v>
      </c>
      <c r="K243" s="225">
        <f t="shared" ca="1" si="82"/>
        <v>75.608630296994804</v>
      </c>
      <c r="L243" s="225">
        <f t="shared" ca="1" si="82"/>
        <v>76.866531608065117</v>
      </c>
      <c r="M243" s="232">
        <f t="shared" ref="M243" si="86">O243</f>
        <v>61.561340800000004</v>
      </c>
      <c r="N243" s="232">
        <f t="shared" ref="N243" si="87">O243</f>
        <v>61.561340800000004</v>
      </c>
      <c r="O243" s="232">
        <f>INDEX('[5]TS BYDem'!$O$10:$O$203,MATCH(D243,'[5]TS BYDem'!$D$10:$D$203,0))</f>
        <v>61.561340800000004</v>
      </c>
      <c r="P243" s="225">
        <f t="shared" ca="1" si="82"/>
        <v>62.097631881650443</v>
      </c>
      <c r="Q243" s="225">
        <f t="shared" ca="1" si="82"/>
        <v>62.080568074507021</v>
      </c>
      <c r="R243" s="225">
        <f t="shared" ca="1" si="82"/>
        <v>56.125299381452457</v>
      </c>
      <c r="S243" s="225">
        <f t="shared" ca="1" si="82"/>
        <v>57.69760732538213</v>
      </c>
      <c r="T243" s="225">
        <f t="shared" ca="1" si="82"/>
        <v>59.135842498899194</v>
      </c>
      <c r="U243" s="225">
        <f t="shared" ca="1" si="82"/>
        <v>60.535074684659875</v>
      </c>
      <c r="V243" s="225">
        <f t="shared" ca="1" si="82"/>
        <v>61.875802388785964</v>
      </c>
      <c r="W243" s="225">
        <f t="shared" ca="1" si="82"/>
        <v>63.284785321485735</v>
      </c>
      <c r="X243" s="225">
        <f t="shared" ca="1" si="82"/>
        <v>65.066734324606031</v>
      </c>
      <c r="Y243" s="225">
        <f t="shared" ca="1" si="82"/>
        <v>66.82430646037858</v>
      </c>
      <c r="Z243" s="225">
        <f t="shared" ca="1" si="82"/>
        <v>68.652571511459598</v>
      </c>
      <c r="AA243" s="225">
        <f t="shared" ca="1" si="83"/>
        <v>70.505213429888357</v>
      </c>
      <c r="AB243" s="225">
        <f t="shared" ca="1" si="83"/>
        <v>72.404171396277832</v>
      </c>
      <c r="AC243" s="225">
        <f t="shared" ca="1" si="83"/>
        <v>74.505457361653612</v>
      </c>
      <c r="AD243" s="225">
        <f t="shared" ca="1" si="83"/>
        <v>76.521424291312286</v>
      </c>
      <c r="AE243" s="225">
        <f t="shared" ca="1" si="83"/>
        <v>78.751907653631122</v>
      </c>
      <c r="AF243" s="225">
        <f t="shared" ca="1" si="83"/>
        <v>81.143278340445079</v>
      </c>
      <c r="AG243" s="225">
        <f t="shared" ca="1" si="83"/>
        <v>83.678472544610756</v>
      </c>
      <c r="AH243" s="225">
        <f t="shared" ca="1" si="83"/>
        <v>86.316049591636968</v>
      </c>
      <c r="AI243" s="225">
        <f t="shared" ca="1" si="83"/>
        <v>89.048696421319406</v>
      </c>
      <c r="AJ243" s="225">
        <f t="shared" ca="1" si="83"/>
        <v>91.808157805084349</v>
      </c>
      <c r="AK243" s="225">
        <f t="shared" ca="1" si="83"/>
        <v>94.670002031709842</v>
      </c>
      <c r="AL243" s="225">
        <f t="shared" ca="1" si="83"/>
        <v>97.700046643034796</v>
      </c>
      <c r="AM243" s="225">
        <f t="shared" ca="1" si="83"/>
        <v>114.50789667930628</v>
      </c>
      <c r="AN243" s="225">
        <f t="shared" ca="1" si="83"/>
        <v>135.71089589837655</v>
      </c>
      <c r="AO243" s="225">
        <f t="shared" ca="1" si="83"/>
        <v>172.98922028991859</v>
      </c>
      <c r="AP243" s="225">
        <f t="shared" ca="1" si="83"/>
        <v>211.00006954525952</v>
      </c>
    </row>
    <row r="244" spans="1:42">
      <c r="A244" s="61" t="str">
        <f>'[5]TS BYDem'!A183</f>
        <v>*</v>
      </c>
      <c r="B244" s="225" t="s">
        <v>288</v>
      </c>
      <c r="C244" s="225" t="s">
        <v>137</v>
      </c>
      <c r="D244" s="225" t="str">
        <f>'[5]TS BYDem'!D183</f>
        <v>IOTS</v>
      </c>
      <c r="E244" s="225" t="s">
        <v>137</v>
      </c>
      <c r="F244" s="225" t="s">
        <v>137</v>
      </c>
      <c r="G244" s="225" t="s">
        <v>137</v>
      </c>
      <c r="H244" s="225" t="s">
        <v>137</v>
      </c>
      <c r="I244" s="225">
        <v>0</v>
      </c>
      <c r="J244" s="225">
        <f>INDEX('[5]TS BYDem'!$J$10:$J$203,MATCH(D244,'[5]TS BYDem'!$D$10:$D$203,0))</f>
        <v>73.690487252999532</v>
      </c>
      <c r="K244" s="225">
        <f t="shared" ca="1" si="82"/>
        <v>75.608630296994804</v>
      </c>
      <c r="L244" s="225">
        <f t="shared" ca="1" si="82"/>
        <v>76.866531608065117</v>
      </c>
      <c r="M244" s="225">
        <f t="shared" ca="1" si="82"/>
        <v>77.748939990457714</v>
      </c>
      <c r="N244" s="225">
        <f t="shared" ca="1" si="82"/>
        <v>78.56250800259275</v>
      </c>
      <c r="O244" s="225">
        <f t="shared" ca="1" si="82"/>
        <v>79.022486840222939</v>
      </c>
      <c r="P244" s="225">
        <f t="shared" ca="1" si="82"/>
        <v>79.710890542798751</v>
      </c>
      <c r="Q244" s="225">
        <f t="shared" ca="1" si="82"/>
        <v>79.688986788625883</v>
      </c>
      <c r="R244" s="225">
        <f t="shared" ca="1" si="82"/>
        <v>72.044576582295619</v>
      </c>
      <c r="S244" s="225">
        <f t="shared" ca="1" si="82"/>
        <v>74.062851073938276</v>
      </c>
      <c r="T244" s="225">
        <f t="shared" ca="1" si="82"/>
        <v>75.909024639936987</v>
      </c>
      <c r="U244" s="225">
        <f t="shared" ca="1" si="82"/>
        <v>77.70513248211202</v>
      </c>
      <c r="V244" s="225">
        <f t="shared" ca="1" si="82"/>
        <v>79.426141738551507</v>
      </c>
      <c r="W244" s="225">
        <f t="shared" ca="1" si="82"/>
        <v>81.234766011682453</v>
      </c>
      <c r="X244" s="225">
        <f t="shared" ca="1" si="82"/>
        <v>83.52214376887747</v>
      </c>
      <c r="Y244" s="225">
        <f t="shared" ca="1" si="82"/>
        <v>85.778230448682663</v>
      </c>
      <c r="Z244" s="225">
        <f t="shared" ca="1" si="82"/>
        <v>88.125061252918329</v>
      </c>
      <c r="AA244" s="225">
        <f t="shared" ca="1" si="83"/>
        <v>90.503183134543789</v>
      </c>
      <c r="AB244" s="225">
        <f t="shared" ca="1" si="83"/>
        <v>92.940758063209884</v>
      </c>
      <c r="AC244" s="225">
        <f t="shared" ca="1" si="83"/>
        <v>95.638048934211398</v>
      </c>
      <c r="AD244" s="225">
        <f t="shared" ca="1" si="83"/>
        <v>98.225821034348598</v>
      </c>
      <c r="AE244" s="225">
        <f t="shared" ca="1" si="83"/>
        <v>101.08895461551609</v>
      </c>
      <c r="AF244" s="225">
        <f t="shared" ca="1" si="83"/>
        <v>104.15860930745632</v>
      </c>
      <c r="AG244" s="225">
        <f t="shared" ca="1" si="83"/>
        <v>107.41288135599642</v>
      </c>
      <c r="AH244" s="225">
        <f t="shared" ca="1" si="83"/>
        <v>110.79857592957373</v>
      </c>
      <c r="AI244" s="225">
        <f t="shared" ca="1" si="83"/>
        <v>114.30630570497129</v>
      </c>
      <c r="AJ244" s="225">
        <f t="shared" ca="1" si="83"/>
        <v>117.84845566549764</v>
      </c>
      <c r="AK244" s="225">
        <f t="shared" ca="1" si="83"/>
        <v>121.52202815106119</v>
      </c>
      <c r="AL244" s="225">
        <f t="shared" ca="1" si="83"/>
        <v>125.41150907061443</v>
      </c>
      <c r="AM244" s="225">
        <f t="shared" ca="1" si="83"/>
        <v>146.98670693088755</v>
      </c>
      <c r="AN244" s="225">
        <f t="shared" ca="1" si="83"/>
        <v>174.20368604454319</v>
      </c>
      <c r="AO244" s="225">
        <f t="shared" ca="1" si="83"/>
        <v>222.05556614290833</v>
      </c>
      <c r="AP244" s="225">
        <f t="shared" ca="1" si="83"/>
        <v>270.84774311683606</v>
      </c>
    </row>
    <row r="245" spans="1:42">
      <c r="A245" s="61" t="str">
        <f>'[5]TS BYDem'!A184</f>
        <v>*</v>
      </c>
      <c r="B245" s="225" t="s">
        <v>288</v>
      </c>
      <c r="C245" s="225" t="s">
        <v>137</v>
      </c>
      <c r="D245" s="225" t="str">
        <f>'[5]TS BYDem'!D184</f>
        <v>IOTS</v>
      </c>
      <c r="E245" s="225" t="s">
        <v>137</v>
      </c>
      <c r="F245" s="225" t="s">
        <v>137</v>
      </c>
      <c r="G245" s="225" t="s">
        <v>137</v>
      </c>
      <c r="H245" s="225" t="s">
        <v>137</v>
      </c>
      <c r="I245" s="225">
        <v>0</v>
      </c>
      <c r="J245" s="225">
        <f>INDEX('[5]TS BYDem'!$J$10:$J$203,MATCH(D245,'[5]TS BYDem'!$D$10:$D$203,0))</f>
        <v>73.690487252999532</v>
      </c>
      <c r="K245" s="225">
        <f t="shared" ca="1" si="82"/>
        <v>75.608630296994804</v>
      </c>
      <c r="L245" s="225">
        <f t="shared" ca="1" si="82"/>
        <v>76.866531608065117</v>
      </c>
      <c r="M245" s="225">
        <f t="shared" ca="1" si="82"/>
        <v>77.748939990457714</v>
      </c>
      <c r="N245" s="225">
        <f t="shared" ca="1" si="82"/>
        <v>78.56250800259275</v>
      </c>
      <c r="O245" s="225">
        <f t="shared" ca="1" si="82"/>
        <v>79.022486840222939</v>
      </c>
      <c r="P245" s="225">
        <f t="shared" ca="1" si="82"/>
        <v>79.710890542798751</v>
      </c>
      <c r="Q245" s="225">
        <f t="shared" ca="1" si="82"/>
        <v>79.688986788625883</v>
      </c>
      <c r="R245" s="225">
        <f t="shared" ca="1" si="82"/>
        <v>72.044576582295619</v>
      </c>
      <c r="S245" s="225">
        <f t="shared" ca="1" si="82"/>
        <v>74.062851073938276</v>
      </c>
      <c r="T245" s="225">
        <f t="shared" ca="1" si="82"/>
        <v>75.909024639936987</v>
      </c>
      <c r="U245" s="225">
        <f t="shared" ca="1" si="82"/>
        <v>77.70513248211202</v>
      </c>
      <c r="V245" s="225">
        <f t="shared" ca="1" si="82"/>
        <v>79.426141738551507</v>
      </c>
      <c r="W245" s="225">
        <f t="shared" ca="1" si="82"/>
        <v>81.234766011682453</v>
      </c>
      <c r="X245" s="225">
        <f t="shared" ca="1" si="82"/>
        <v>83.52214376887747</v>
      </c>
      <c r="Y245" s="225">
        <f t="shared" ca="1" si="82"/>
        <v>85.778230448682663</v>
      </c>
      <c r="Z245" s="225">
        <f t="shared" ca="1" si="82"/>
        <v>88.125061252918329</v>
      </c>
      <c r="AA245" s="225">
        <f t="shared" ca="1" si="83"/>
        <v>90.503183134543789</v>
      </c>
      <c r="AB245" s="225">
        <f t="shared" ca="1" si="83"/>
        <v>92.940758063209884</v>
      </c>
      <c r="AC245" s="225">
        <f t="shared" ca="1" si="83"/>
        <v>95.638048934211398</v>
      </c>
      <c r="AD245" s="225">
        <f t="shared" ca="1" si="83"/>
        <v>98.225821034348598</v>
      </c>
      <c r="AE245" s="225">
        <f t="shared" ca="1" si="83"/>
        <v>101.08895461551609</v>
      </c>
      <c r="AF245" s="225">
        <f t="shared" ca="1" si="83"/>
        <v>104.15860930745632</v>
      </c>
      <c r="AG245" s="225">
        <f t="shared" ca="1" si="83"/>
        <v>107.41288135599642</v>
      </c>
      <c r="AH245" s="225">
        <f t="shared" ca="1" si="83"/>
        <v>110.79857592957373</v>
      </c>
      <c r="AI245" s="225">
        <f t="shared" ca="1" si="83"/>
        <v>114.30630570497129</v>
      </c>
      <c r="AJ245" s="225">
        <f t="shared" ca="1" si="83"/>
        <v>117.84845566549764</v>
      </c>
      <c r="AK245" s="225">
        <f t="shared" ca="1" si="83"/>
        <v>121.52202815106119</v>
      </c>
      <c r="AL245" s="225">
        <f t="shared" ca="1" si="83"/>
        <v>125.41150907061443</v>
      </c>
      <c r="AM245" s="225">
        <f t="shared" ca="1" si="83"/>
        <v>146.98670693088755</v>
      </c>
      <c r="AN245" s="225">
        <f t="shared" ca="1" si="83"/>
        <v>174.20368604454319</v>
      </c>
      <c r="AO245" s="225">
        <f t="shared" ca="1" si="83"/>
        <v>222.05556614290833</v>
      </c>
      <c r="AP245" s="225">
        <f t="shared" ca="1" si="83"/>
        <v>270.84774311683606</v>
      </c>
    </row>
    <row r="246" spans="1:42">
      <c r="A246" s="61" t="str">
        <f>'[5]TS BYDem'!A185</f>
        <v>*</v>
      </c>
      <c r="B246" s="225" t="s">
        <v>288</v>
      </c>
      <c r="C246" s="225" t="s">
        <v>137</v>
      </c>
      <c r="D246" s="225" t="str">
        <f>'[5]TS BYDem'!D185</f>
        <v>IOTS</v>
      </c>
      <c r="E246" s="225" t="s">
        <v>137</v>
      </c>
      <c r="F246" s="225" t="s">
        <v>137</v>
      </c>
      <c r="G246" s="225" t="s">
        <v>137</v>
      </c>
      <c r="H246" s="225" t="s">
        <v>137</v>
      </c>
      <c r="I246" s="225">
        <v>0</v>
      </c>
      <c r="J246" s="225">
        <f>INDEX('[5]TS BYDem'!$J$10:$J$203,MATCH(D246,'[5]TS BYDem'!$D$10:$D$203,0))</f>
        <v>73.690487252999532</v>
      </c>
      <c r="K246" s="225">
        <f t="shared" ca="1" si="82"/>
        <v>75.608630296994804</v>
      </c>
      <c r="L246" s="225">
        <f t="shared" ca="1" si="82"/>
        <v>76.866531608065117</v>
      </c>
      <c r="M246" s="225">
        <f t="shared" ca="1" si="82"/>
        <v>77.748939990457714</v>
      </c>
      <c r="N246" s="225">
        <f t="shared" ca="1" si="82"/>
        <v>78.56250800259275</v>
      </c>
      <c r="O246" s="225">
        <f t="shared" ca="1" si="82"/>
        <v>79.022486840222939</v>
      </c>
      <c r="P246" s="225">
        <f t="shared" ca="1" si="82"/>
        <v>79.710890542798751</v>
      </c>
      <c r="Q246" s="225">
        <f t="shared" ca="1" si="82"/>
        <v>79.688986788625883</v>
      </c>
      <c r="R246" s="225">
        <f t="shared" ca="1" si="82"/>
        <v>72.044576582295619</v>
      </c>
      <c r="S246" s="225">
        <f t="shared" ca="1" si="82"/>
        <v>74.062851073938276</v>
      </c>
      <c r="T246" s="225">
        <f t="shared" ca="1" si="82"/>
        <v>75.909024639936987</v>
      </c>
      <c r="U246" s="225">
        <f t="shared" ca="1" si="82"/>
        <v>77.70513248211202</v>
      </c>
      <c r="V246" s="225">
        <f t="shared" ca="1" si="82"/>
        <v>79.426141738551507</v>
      </c>
      <c r="W246" s="225">
        <f t="shared" ca="1" si="82"/>
        <v>81.234766011682453</v>
      </c>
      <c r="X246" s="225">
        <f t="shared" ca="1" si="82"/>
        <v>83.52214376887747</v>
      </c>
      <c r="Y246" s="225">
        <f t="shared" ca="1" si="82"/>
        <v>85.778230448682663</v>
      </c>
      <c r="Z246" s="225">
        <f t="shared" ca="1" si="82"/>
        <v>88.125061252918329</v>
      </c>
      <c r="AA246" s="225">
        <f t="shared" ca="1" si="83"/>
        <v>90.503183134543789</v>
      </c>
      <c r="AB246" s="225">
        <f t="shared" ca="1" si="83"/>
        <v>92.940758063209884</v>
      </c>
      <c r="AC246" s="225">
        <f t="shared" ca="1" si="83"/>
        <v>95.638048934211398</v>
      </c>
      <c r="AD246" s="225">
        <f t="shared" ca="1" si="83"/>
        <v>98.225821034348598</v>
      </c>
      <c r="AE246" s="225">
        <f t="shared" ca="1" si="83"/>
        <v>101.08895461551609</v>
      </c>
      <c r="AF246" s="225">
        <f t="shared" ca="1" si="83"/>
        <v>104.15860930745632</v>
      </c>
      <c r="AG246" s="225">
        <f t="shared" ca="1" si="83"/>
        <v>107.41288135599642</v>
      </c>
      <c r="AH246" s="225">
        <f t="shared" ca="1" si="83"/>
        <v>110.79857592957373</v>
      </c>
      <c r="AI246" s="225">
        <f t="shared" ca="1" si="83"/>
        <v>114.30630570497129</v>
      </c>
      <c r="AJ246" s="225">
        <f t="shared" ca="1" si="83"/>
        <v>117.84845566549764</v>
      </c>
      <c r="AK246" s="225">
        <f t="shared" ca="1" si="83"/>
        <v>121.52202815106119</v>
      </c>
      <c r="AL246" s="225">
        <f t="shared" ca="1" si="83"/>
        <v>125.41150907061443</v>
      </c>
      <c r="AM246" s="225">
        <f t="shared" ca="1" si="83"/>
        <v>146.98670693088755</v>
      </c>
      <c r="AN246" s="225">
        <f t="shared" ca="1" si="83"/>
        <v>174.20368604454319</v>
      </c>
      <c r="AO246" s="225">
        <f t="shared" ca="1" si="83"/>
        <v>222.05556614290833</v>
      </c>
      <c r="AP246" s="225">
        <f t="shared" ref="L246:AP253" ca="1" si="88">AP$230/AO$230*AO246</f>
        <v>270.84774311683606</v>
      </c>
    </row>
    <row r="247" spans="1:42">
      <c r="A247" s="61" t="str">
        <f>'[5]TS BYDem'!A186</f>
        <v>*</v>
      </c>
      <c r="B247" s="225" t="s">
        <v>288</v>
      </c>
      <c r="C247" s="225" t="s">
        <v>137</v>
      </c>
      <c r="D247" s="225" t="str">
        <f>'[5]TS BYDem'!D186</f>
        <v>IOTS</v>
      </c>
      <c r="E247" s="225" t="s">
        <v>137</v>
      </c>
      <c r="F247" s="225" t="s">
        <v>137</v>
      </c>
      <c r="G247" s="225" t="s">
        <v>137</v>
      </c>
      <c r="H247" s="225" t="s">
        <v>137</v>
      </c>
      <c r="I247" s="225">
        <v>0</v>
      </c>
      <c r="J247" s="225">
        <f>INDEX('[5]TS BYDem'!$J$10:$J$203,MATCH(D247,'[5]TS BYDem'!$D$10:$D$203,0))</f>
        <v>73.690487252999532</v>
      </c>
      <c r="K247" s="225">
        <f t="shared" ca="1" si="82"/>
        <v>75.608630296994804</v>
      </c>
      <c r="L247" s="225">
        <f t="shared" ca="1" si="88"/>
        <v>76.866531608065117</v>
      </c>
      <c r="M247" s="225">
        <f t="shared" ca="1" si="88"/>
        <v>77.748939990457714</v>
      </c>
      <c r="N247" s="225">
        <f t="shared" ca="1" si="88"/>
        <v>78.56250800259275</v>
      </c>
      <c r="O247" s="225">
        <f t="shared" ca="1" si="88"/>
        <v>79.022486840222939</v>
      </c>
      <c r="P247" s="225">
        <f t="shared" ca="1" si="88"/>
        <v>79.710890542798751</v>
      </c>
      <c r="Q247" s="225">
        <f t="shared" ca="1" si="88"/>
        <v>79.688986788625883</v>
      </c>
      <c r="R247" s="225">
        <f t="shared" ca="1" si="88"/>
        <v>72.044576582295619</v>
      </c>
      <c r="S247" s="225">
        <f t="shared" ca="1" si="88"/>
        <v>74.062851073938276</v>
      </c>
      <c r="T247" s="225">
        <f t="shared" ca="1" si="88"/>
        <v>75.909024639936987</v>
      </c>
      <c r="U247" s="225">
        <f t="shared" ca="1" si="88"/>
        <v>77.70513248211202</v>
      </c>
      <c r="V247" s="225">
        <f t="shared" ca="1" si="88"/>
        <v>79.426141738551507</v>
      </c>
      <c r="W247" s="225">
        <f t="shared" ca="1" si="88"/>
        <v>81.234766011682453</v>
      </c>
      <c r="X247" s="225">
        <f t="shared" ca="1" si="88"/>
        <v>83.52214376887747</v>
      </c>
      <c r="Y247" s="225">
        <f t="shared" ca="1" si="88"/>
        <v>85.778230448682663</v>
      </c>
      <c r="Z247" s="225">
        <f t="shared" ca="1" si="88"/>
        <v>88.125061252918329</v>
      </c>
      <c r="AA247" s="225">
        <f t="shared" ca="1" si="88"/>
        <v>90.503183134543789</v>
      </c>
      <c r="AB247" s="225">
        <f t="shared" ca="1" si="88"/>
        <v>92.940758063209884</v>
      </c>
      <c r="AC247" s="225">
        <f t="shared" ca="1" si="88"/>
        <v>95.638048934211398</v>
      </c>
      <c r="AD247" s="225">
        <f t="shared" ca="1" si="88"/>
        <v>98.225821034348598</v>
      </c>
      <c r="AE247" s="225">
        <f t="shared" ca="1" si="88"/>
        <v>101.08895461551609</v>
      </c>
      <c r="AF247" s="225">
        <f t="shared" ca="1" si="88"/>
        <v>104.15860930745632</v>
      </c>
      <c r="AG247" s="225">
        <f t="shared" ca="1" si="88"/>
        <v>107.41288135599642</v>
      </c>
      <c r="AH247" s="225">
        <f t="shared" ca="1" si="88"/>
        <v>110.79857592957373</v>
      </c>
      <c r="AI247" s="225">
        <f t="shared" ca="1" si="88"/>
        <v>114.30630570497129</v>
      </c>
      <c r="AJ247" s="225">
        <f t="shared" ca="1" si="88"/>
        <v>117.84845566549764</v>
      </c>
      <c r="AK247" s="225">
        <f t="shared" ca="1" si="88"/>
        <v>121.52202815106119</v>
      </c>
      <c r="AL247" s="225">
        <f t="shared" ca="1" si="88"/>
        <v>125.41150907061443</v>
      </c>
      <c r="AM247" s="225">
        <f t="shared" ca="1" si="88"/>
        <v>146.98670693088755</v>
      </c>
      <c r="AN247" s="225">
        <f t="shared" ca="1" si="88"/>
        <v>174.20368604454319</v>
      </c>
      <c r="AO247" s="225">
        <f t="shared" ca="1" si="88"/>
        <v>222.05556614290833</v>
      </c>
      <c r="AP247" s="225">
        <f t="shared" ca="1" si="88"/>
        <v>270.84774311683606</v>
      </c>
    </row>
    <row r="248" spans="1:42">
      <c r="A248" s="61" t="str">
        <f>'[5]TS BYDem'!A187</f>
        <v>*</v>
      </c>
      <c r="B248" s="225" t="s">
        <v>288</v>
      </c>
      <c r="C248" s="225" t="s">
        <v>137</v>
      </c>
      <c r="D248" s="225" t="str">
        <f>'[5]TS BYDem'!D187</f>
        <v>IOTS</v>
      </c>
      <c r="E248" s="225" t="s">
        <v>137</v>
      </c>
      <c r="F248" s="225" t="s">
        <v>137</v>
      </c>
      <c r="G248" s="225" t="s">
        <v>137</v>
      </c>
      <c r="H248" s="225" t="s">
        <v>137</v>
      </c>
      <c r="I248" s="225">
        <v>0</v>
      </c>
      <c r="J248" s="225">
        <f>INDEX('[5]TS BYDem'!$J$10:$J$203,MATCH(D248,'[5]TS BYDem'!$D$10:$D$203,0))</f>
        <v>73.690487252999532</v>
      </c>
      <c r="K248" s="225">
        <f t="shared" ca="1" si="82"/>
        <v>75.608630296994804</v>
      </c>
      <c r="L248" s="225">
        <f t="shared" ca="1" si="88"/>
        <v>76.866531608065117</v>
      </c>
      <c r="M248" s="225">
        <f t="shared" ca="1" si="88"/>
        <v>77.748939990457714</v>
      </c>
      <c r="N248" s="225">
        <f t="shared" ca="1" si="88"/>
        <v>78.56250800259275</v>
      </c>
      <c r="O248" s="225">
        <f t="shared" ca="1" si="88"/>
        <v>79.022486840222939</v>
      </c>
      <c r="P248" s="225">
        <f t="shared" ca="1" si="88"/>
        <v>79.710890542798751</v>
      </c>
      <c r="Q248" s="225">
        <f t="shared" ca="1" si="88"/>
        <v>79.688986788625883</v>
      </c>
      <c r="R248" s="225">
        <f t="shared" ca="1" si="88"/>
        <v>72.044576582295619</v>
      </c>
      <c r="S248" s="225">
        <f t="shared" ca="1" si="88"/>
        <v>74.062851073938276</v>
      </c>
      <c r="T248" s="225">
        <f t="shared" ca="1" si="88"/>
        <v>75.909024639936987</v>
      </c>
      <c r="U248" s="225">
        <f t="shared" ca="1" si="88"/>
        <v>77.70513248211202</v>
      </c>
      <c r="V248" s="225">
        <f t="shared" ca="1" si="88"/>
        <v>79.426141738551507</v>
      </c>
      <c r="W248" s="225">
        <f t="shared" ca="1" si="88"/>
        <v>81.234766011682453</v>
      </c>
      <c r="X248" s="225">
        <f t="shared" ca="1" si="88"/>
        <v>83.52214376887747</v>
      </c>
      <c r="Y248" s="225">
        <f t="shared" ca="1" si="88"/>
        <v>85.778230448682663</v>
      </c>
      <c r="Z248" s="225">
        <f t="shared" ca="1" si="88"/>
        <v>88.125061252918329</v>
      </c>
      <c r="AA248" s="225">
        <f t="shared" ca="1" si="88"/>
        <v>90.503183134543789</v>
      </c>
      <c r="AB248" s="225">
        <f t="shared" ca="1" si="88"/>
        <v>92.940758063209884</v>
      </c>
      <c r="AC248" s="225">
        <f t="shared" ca="1" si="88"/>
        <v>95.638048934211398</v>
      </c>
      <c r="AD248" s="225">
        <f t="shared" ca="1" si="88"/>
        <v>98.225821034348598</v>
      </c>
      <c r="AE248" s="225">
        <f t="shared" ca="1" si="88"/>
        <v>101.08895461551609</v>
      </c>
      <c r="AF248" s="225">
        <f t="shared" ca="1" si="88"/>
        <v>104.15860930745632</v>
      </c>
      <c r="AG248" s="225">
        <f t="shared" ca="1" si="88"/>
        <v>107.41288135599642</v>
      </c>
      <c r="AH248" s="225">
        <f t="shared" ca="1" si="88"/>
        <v>110.79857592957373</v>
      </c>
      <c r="AI248" s="225">
        <f t="shared" ca="1" si="88"/>
        <v>114.30630570497129</v>
      </c>
      <c r="AJ248" s="225">
        <f t="shared" ca="1" si="88"/>
        <v>117.84845566549764</v>
      </c>
      <c r="AK248" s="225">
        <f t="shared" ca="1" si="88"/>
        <v>121.52202815106119</v>
      </c>
      <c r="AL248" s="225">
        <f t="shared" ca="1" si="88"/>
        <v>125.41150907061443</v>
      </c>
      <c r="AM248" s="225">
        <f t="shared" ca="1" si="88"/>
        <v>146.98670693088755</v>
      </c>
      <c r="AN248" s="225">
        <f t="shared" ca="1" si="88"/>
        <v>174.20368604454319</v>
      </c>
      <c r="AO248" s="225">
        <f t="shared" ca="1" si="88"/>
        <v>222.05556614290833</v>
      </c>
      <c r="AP248" s="225">
        <f t="shared" ca="1" si="88"/>
        <v>270.84774311683606</v>
      </c>
    </row>
    <row r="249" spans="1:42">
      <c r="A249" s="61" t="str">
        <f>'[5]TS BYDem'!A184</f>
        <v>*</v>
      </c>
      <c r="B249" s="225" t="s">
        <v>288</v>
      </c>
      <c r="C249" s="225" t="s">
        <v>137</v>
      </c>
      <c r="D249" s="225" t="str">
        <f>'[5]TS BYDem'!D184</f>
        <v>IOTS</v>
      </c>
      <c r="E249" s="225" t="s">
        <v>137</v>
      </c>
      <c r="F249" s="225" t="s">
        <v>137</v>
      </c>
      <c r="G249" s="225" t="s">
        <v>137</v>
      </c>
      <c r="H249" s="225" t="s">
        <v>137</v>
      </c>
      <c r="I249" s="225">
        <v>0</v>
      </c>
      <c r="J249" s="225">
        <f>INDEX('[5]TS BYDem'!$J$10:$J$203,MATCH(D249,'[5]TS BYDem'!$D$10:$D$203,0))</f>
        <v>73.690487252999532</v>
      </c>
      <c r="K249" s="225">
        <f t="shared" ca="1" si="82"/>
        <v>75.608630296994804</v>
      </c>
      <c r="L249" s="225">
        <f t="shared" ca="1" si="88"/>
        <v>76.866531608065117</v>
      </c>
      <c r="M249" s="225">
        <f t="shared" ca="1" si="88"/>
        <v>77.748939990457714</v>
      </c>
      <c r="N249" s="225">
        <f t="shared" ca="1" si="88"/>
        <v>78.56250800259275</v>
      </c>
      <c r="O249" s="225">
        <f t="shared" ca="1" si="88"/>
        <v>79.022486840222939</v>
      </c>
      <c r="P249" s="225">
        <f t="shared" ca="1" si="88"/>
        <v>79.710890542798751</v>
      </c>
      <c r="Q249" s="225">
        <f t="shared" ca="1" si="88"/>
        <v>79.688986788625883</v>
      </c>
      <c r="R249" s="225">
        <f t="shared" ca="1" si="88"/>
        <v>72.044576582295619</v>
      </c>
      <c r="S249" s="225">
        <f t="shared" ca="1" si="88"/>
        <v>74.062851073938276</v>
      </c>
      <c r="T249" s="225">
        <f t="shared" ca="1" si="88"/>
        <v>75.909024639936987</v>
      </c>
      <c r="U249" s="225">
        <f t="shared" ca="1" si="88"/>
        <v>77.70513248211202</v>
      </c>
      <c r="V249" s="225">
        <f t="shared" ca="1" si="88"/>
        <v>79.426141738551507</v>
      </c>
      <c r="W249" s="225">
        <f t="shared" ca="1" si="88"/>
        <v>81.234766011682453</v>
      </c>
      <c r="X249" s="225">
        <f t="shared" ca="1" si="88"/>
        <v>83.52214376887747</v>
      </c>
      <c r="Y249" s="225">
        <f t="shared" ca="1" si="88"/>
        <v>85.778230448682663</v>
      </c>
      <c r="Z249" s="225">
        <f t="shared" ca="1" si="88"/>
        <v>88.125061252918329</v>
      </c>
      <c r="AA249" s="225">
        <f t="shared" ca="1" si="88"/>
        <v>90.503183134543789</v>
      </c>
      <c r="AB249" s="225">
        <f t="shared" ca="1" si="88"/>
        <v>92.940758063209884</v>
      </c>
      <c r="AC249" s="225">
        <f t="shared" ca="1" si="88"/>
        <v>95.638048934211398</v>
      </c>
      <c r="AD249" s="225">
        <f t="shared" ca="1" si="88"/>
        <v>98.225821034348598</v>
      </c>
      <c r="AE249" s="225">
        <f t="shared" ca="1" si="88"/>
        <v>101.08895461551609</v>
      </c>
      <c r="AF249" s="225">
        <f t="shared" ca="1" si="88"/>
        <v>104.15860930745632</v>
      </c>
      <c r="AG249" s="225">
        <f t="shared" ca="1" si="88"/>
        <v>107.41288135599642</v>
      </c>
      <c r="AH249" s="225">
        <f t="shared" ca="1" si="88"/>
        <v>110.79857592957373</v>
      </c>
      <c r="AI249" s="225">
        <f t="shared" ca="1" si="88"/>
        <v>114.30630570497129</v>
      </c>
      <c r="AJ249" s="225">
        <f t="shared" ca="1" si="88"/>
        <v>117.84845566549764</v>
      </c>
      <c r="AK249" s="225">
        <f t="shared" ca="1" si="88"/>
        <v>121.52202815106119</v>
      </c>
      <c r="AL249" s="225">
        <f t="shared" ca="1" si="88"/>
        <v>125.41150907061443</v>
      </c>
      <c r="AM249" s="225">
        <f t="shared" ca="1" si="88"/>
        <v>146.98670693088755</v>
      </c>
      <c r="AN249" s="225">
        <f t="shared" ca="1" si="88"/>
        <v>174.20368604454319</v>
      </c>
      <c r="AO249" s="225">
        <f t="shared" ca="1" si="88"/>
        <v>222.05556614290833</v>
      </c>
      <c r="AP249" s="225">
        <f t="shared" ca="1" si="88"/>
        <v>270.84774311683606</v>
      </c>
    </row>
    <row r="250" spans="1:42">
      <c r="A250" s="61" t="str">
        <f>'[5]TS BYDem'!A185</f>
        <v>*</v>
      </c>
      <c r="B250" s="225" t="s">
        <v>288</v>
      </c>
      <c r="C250" s="225" t="s">
        <v>137</v>
      </c>
      <c r="D250" s="225" t="str">
        <f>'[5]TS BYDem'!D185</f>
        <v>IOTS</v>
      </c>
      <c r="E250" s="225" t="s">
        <v>137</v>
      </c>
      <c r="F250" s="225" t="s">
        <v>137</v>
      </c>
      <c r="G250" s="225" t="s">
        <v>137</v>
      </c>
      <c r="H250" s="225" t="s">
        <v>137</v>
      </c>
      <c r="I250" s="225">
        <v>0</v>
      </c>
      <c r="J250" s="225">
        <f>INDEX('[5]TS BYDem'!$J$10:$J$203,MATCH(D250,'[5]TS BYDem'!$D$10:$D$203,0))</f>
        <v>73.690487252999532</v>
      </c>
      <c r="K250" s="225">
        <f t="shared" ca="1" si="82"/>
        <v>75.608630296994804</v>
      </c>
      <c r="L250" s="225">
        <f t="shared" ca="1" si="88"/>
        <v>76.866531608065117</v>
      </c>
      <c r="M250" s="225">
        <f t="shared" ca="1" si="88"/>
        <v>77.748939990457714</v>
      </c>
      <c r="N250" s="225">
        <f t="shared" ca="1" si="88"/>
        <v>78.56250800259275</v>
      </c>
      <c r="O250" s="225">
        <f t="shared" ca="1" si="88"/>
        <v>79.022486840222939</v>
      </c>
      <c r="P250" s="225">
        <f t="shared" ca="1" si="88"/>
        <v>79.710890542798751</v>
      </c>
      <c r="Q250" s="225">
        <f t="shared" ca="1" si="88"/>
        <v>79.688986788625883</v>
      </c>
      <c r="R250" s="225">
        <f t="shared" ca="1" si="88"/>
        <v>72.044576582295619</v>
      </c>
      <c r="S250" s="225">
        <f t="shared" ca="1" si="88"/>
        <v>74.062851073938276</v>
      </c>
      <c r="T250" s="225">
        <f t="shared" ca="1" si="88"/>
        <v>75.909024639936987</v>
      </c>
      <c r="U250" s="225">
        <f t="shared" ca="1" si="88"/>
        <v>77.70513248211202</v>
      </c>
      <c r="V250" s="225">
        <f t="shared" ca="1" si="88"/>
        <v>79.426141738551507</v>
      </c>
      <c r="W250" s="225">
        <f t="shared" ca="1" si="88"/>
        <v>81.234766011682453</v>
      </c>
      <c r="X250" s="225">
        <f t="shared" ca="1" si="88"/>
        <v>83.52214376887747</v>
      </c>
      <c r="Y250" s="225">
        <f t="shared" ca="1" si="88"/>
        <v>85.778230448682663</v>
      </c>
      <c r="Z250" s="225">
        <f t="shared" ca="1" si="88"/>
        <v>88.125061252918329</v>
      </c>
      <c r="AA250" s="225">
        <f t="shared" ca="1" si="88"/>
        <v>90.503183134543789</v>
      </c>
      <c r="AB250" s="225">
        <f t="shared" ca="1" si="88"/>
        <v>92.940758063209884</v>
      </c>
      <c r="AC250" s="225">
        <f t="shared" ca="1" si="88"/>
        <v>95.638048934211398</v>
      </c>
      <c r="AD250" s="225">
        <f t="shared" ca="1" si="88"/>
        <v>98.225821034348598</v>
      </c>
      <c r="AE250" s="225">
        <f t="shared" ca="1" si="88"/>
        <v>101.08895461551609</v>
      </c>
      <c r="AF250" s="225">
        <f t="shared" ca="1" si="88"/>
        <v>104.15860930745632</v>
      </c>
      <c r="AG250" s="225">
        <f t="shared" ca="1" si="88"/>
        <v>107.41288135599642</v>
      </c>
      <c r="AH250" s="225">
        <f t="shared" ca="1" si="88"/>
        <v>110.79857592957373</v>
      </c>
      <c r="AI250" s="225">
        <f t="shared" ca="1" si="88"/>
        <v>114.30630570497129</v>
      </c>
      <c r="AJ250" s="225">
        <f t="shared" ca="1" si="88"/>
        <v>117.84845566549764</v>
      </c>
      <c r="AK250" s="225">
        <f t="shared" ca="1" si="88"/>
        <v>121.52202815106119</v>
      </c>
      <c r="AL250" s="225">
        <f t="shared" ca="1" si="88"/>
        <v>125.41150907061443</v>
      </c>
      <c r="AM250" s="225">
        <f t="shared" ca="1" si="88"/>
        <v>146.98670693088755</v>
      </c>
      <c r="AN250" s="225">
        <f t="shared" ca="1" si="88"/>
        <v>174.20368604454319</v>
      </c>
      <c r="AO250" s="225">
        <f t="shared" ca="1" si="88"/>
        <v>222.05556614290833</v>
      </c>
      <c r="AP250" s="225">
        <f t="shared" ca="1" si="88"/>
        <v>270.84774311683606</v>
      </c>
    </row>
    <row r="251" spans="1:42">
      <c r="A251" s="61" t="str">
        <f>'[5]TS BYDem'!A186</f>
        <v>*</v>
      </c>
      <c r="B251" s="225" t="s">
        <v>288</v>
      </c>
      <c r="C251" s="225" t="s">
        <v>137</v>
      </c>
      <c r="D251" s="225" t="str">
        <f>'[5]TS BYDem'!D186</f>
        <v>IOTS</v>
      </c>
      <c r="E251" s="225" t="s">
        <v>137</v>
      </c>
      <c r="F251" s="225" t="s">
        <v>137</v>
      </c>
      <c r="G251" s="225" t="s">
        <v>137</v>
      </c>
      <c r="H251" s="225" t="s">
        <v>137</v>
      </c>
      <c r="I251" s="225">
        <v>0</v>
      </c>
      <c r="J251" s="225">
        <f>INDEX('[5]TS BYDem'!$J$10:$J$203,MATCH(D251,'[5]TS BYDem'!$D$10:$D$203,0))</f>
        <v>73.690487252999532</v>
      </c>
      <c r="K251" s="225">
        <f t="shared" ca="1" si="82"/>
        <v>75.608630296994804</v>
      </c>
      <c r="L251" s="225">
        <f t="shared" ca="1" si="88"/>
        <v>76.866531608065117</v>
      </c>
      <c r="M251" s="225">
        <f t="shared" ca="1" si="88"/>
        <v>77.748939990457714</v>
      </c>
      <c r="N251" s="225">
        <f t="shared" ca="1" si="88"/>
        <v>78.56250800259275</v>
      </c>
      <c r="O251" s="225">
        <f t="shared" ca="1" si="88"/>
        <v>79.022486840222939</v>
      </c>
      <c r="P251" s="225">
        <f t="shared" ca="1" si="88"/>
        <v>79.710890542798751</v>
      </c>
      <c r="Q251" s="225">
        <f t="shared" ca="1" si="88"/>
        <v>79.688986788625883</v>
      </c>
      <c r="R251" s="225">
        <f t="shared" ca="1" si="88"/>
        <v>72.044576582295619</v>
      </c>
      <c r="S251" s="225">
        <f t="shared" ca="1" si="88"/>
        <v>74.062851073938276</v>
      </c>
      <c r="T251" s="225">
        <f t="shared" ca="1" si="88"/>
        <v>75.909024639936987</v>
      </c>
      <c r="U251" s="225">
        <f t="shared" ca="1" si="88"/>
        <v>77.70513248211202</v>
      </c>
      <c r="V251" s="225">
        <f t="shared" ca="1" si="88"/>
        <v>79.426141738551507</v>
      </c>
      <c r="W251" s="225">
        <f t="shared" ca="1" si="88"/>
        <v>81.234766011682453</v>
      </c>
      <c r="X251" s="225">
        <f t="shared" ca="1" si="88"/>
        <v>83.52214376887747</v>
      </c>
      <c r="Y251" s="225">
        <f t="shared" ca="1" si="88"/>
        <v>85.778230448682663</v>
      </c>
      <c r="Z251" s="225">
        <f t="shared" ca="1" si="88"/>
        <v>88.125061252918329</v>
      </c>
      <c r="AA251" s="225">
        <f t="shared" ca="1" si="88"/>
        <v>90.503183134543789</v>
      </c>
      <c r="AB251" s="225">
        <f t="shared" ca="1" si="88"/>
        <v>92.940758063209884</v>
      </c>
      <c r="AC251" s="225">
        <f t="shared" ca="1" si="88"/>
        <v>95.638048934211398</v>
      </c>
      <c r="AD251" s="225">
        <f t="shared" ca="1" si="88"/>
        <v>98.225821034348598</v>
      </c>
      <c r="AE251" s="225">
        <f t="shared" ca="1" si="88"/>
        <v>101.08895461551609</v>
      </c>
      <c r="AF251" s="225">
        <f t="shared" ca="1" si="88"/>
        <v>104.15860930745632</v>
      </c>
      <c r="AG251" s="225">
        <f t="shared" ca="1" si="88"/>
        <v>107.41288135599642</v>
      </c>
      <c r="AH251" s="225">
        <f t="shared" ca="1" si="88"/>
        <v>110.79857592957373</v>
      </c>
      <c r="AI251" s="225">
        <f t="shared" ca="1" si="88"/>
        <v>114.30630570497129</v>
      </c>
      <c r="AJ251" s="225">
        <f t="shared" ca="1" si="88"/>
        <v>117.84845566549764</v>
      </c>
      <c r="AK251" s="225">
        <f t="shared" ca="1" si="88"/>
        <v>121.52202815106119</v>
      </c>
      <c r="AL251" s="225">
        <f t="shared" ca="1" si="88"/>
        <v>125.41150907061443</v>
      </c>
      <c r="AM251" s="225">
        <f t="shared" ca="1" si="88"/>
        <v>146.98670693088755</v>
      </c>
      <c r="AN251" s="225">
        <f t="shared" ca="1" si="88"/>
        <v>174.20368604454319</v>
      </c>
      <c r="AO251" s="225">
        <f t="shared" ca="1" si="88"/>
        <v>222.05556614290833</v>
      </c>
      <c r="AP251" s="225">
        <f t="shared" ca="1" si="88"/>
        <v>270.84774311683606</v>
      </c>
    </row>
    <row r="252" spans="1:42">
      <c r="A252" s="61" t="str">
        <f>'[5]TS BYDem'!A187</f>
        <v>*</v>
      </c>
      <c r="B252" s="225" t="s">
        <v>288</v>
      </c>
      <c r="C252" s="225" t="s">
        <v>137</v>
      </c>
      <c r="D252" s="225" t="str">
        <f>'[5]TS BYDem'!D187</f>
        <v>IOTS</v>
      </c>
      <c r="E252" s="225" t="s">
        <v>137</v>
      </c>
      <c r="F252" s="225" t="s">
        <v>137</v>
      </c>
      <c r="G252" s="225" t="s">
        <v>137</v>
      </c>
      <c r="H252" s="225" t="s">
        <v>137</v>
      </c>
      <c r="I252" s="225">
        <v>0</v>
      </c>
      <c r="J252" s="225">
        <f>INDEX('[5]TS BYDem'!$J$10:$J$203,MATCH(D252,'[5]TS BYDem'!$D$10:$D$203,0))</f>
        <v>73.690487252999532</v>
      </c>
      <c r="K252" s="225">
        <f t="shared" ca="1" si="82"/>
        <v>75.608630296994804</v>
      </c>
      <c r="L252" s="225">
        <f t="shared" ca="1" si="88"/>
        <v>76.866531608065117</v>
      </c>
      <c r="M252" s="225">
        <f t="shared" ca="1" si="88"/>
        <v>77.748939990457714</v>
      </c>
      <c r="N252" s="225">
        <f t="shared" ca="1" si="88"/>
        <v>78.56250800259275</v>
      </c>
      <c r="O252" s="225">
        <f t="shared" ca="1" si="88"/>
        <v>79.022486840222939</v>
      </c>
      <c r="P252" s="225">
        <f t="shared" ca="1" si="88"/>
        <v>79.710890542798751</v>
      </c>
      <c r="Q252" s="225">
        <f t="shared" ca="1" si="88"/>
        <v>79.688986788625883</v>
      </c>
      <c r="R252" s="225">
        <f t="shared" ca="1" si="88"/>
        <v>72.044576582295619</v>
      </c>
      <c r="S252" s="225">
        <f t="shared" ca="1" si="88"/>
        <v>74.062851073938276</v>
      </c>
      <c r="T252" s="225">
        <f t="shared" ca="1" si="88"/>
        <v>75.909024639936987</v>
      </c>
      <c r="U252" s="225">
        <f t="shared" ca="1" si="88"/>
        <v>77.70513248211202</v>
      </c>
      <c r="V252" s="225">
        <f t="shared" ca="1" si="88"/>
        <v>79.426141738551507</v>
      </c>
      <c r="W252" s="225">
        <f t="shared" ca="1" si="88"/>
        <v>81.234766011682453</v>
      </c>
      <c r="X252" s="225">
        <f t="shared" ca="1" si="88"/>
        <v>83.52214376887747</v>
      </c>
      <c r="Y252" s="225">
        <f t="shared" ca="1" si="88"/>
        <v>85.778230448682663</v>
      </c>
      <c r="Z252" s="225">
        <f t="shared" ca="1" si="88"/>
        <v>88.125061252918329</v>
      </c>
      <c r="AA252" s="225">
        <f t="shared" ca="1" si="88"/>
        <v>90.503183134543789</v>
      </c>
      <c r="AB252" s="225">
        <f t="shared" ca="1" si="88"/>
        <v>92.940758063209884</v>
      </c>
      <c r="AC252" s="225">
        <f t="shared" ca="1" si="88"/>
        <v>95.638048934211398</v>
      </c>
      <c r="AD252" s="225">
        <f t="shared" ca="1" si="88"/>
        <v>98.225821034348598</v>
      </c>
      <c r="AE252" s="225">
        <f t="shared" ca="1" si="88"/>
        <v>101.08895461551609</v>
      </c>
      <c r="AF252" s="225">
        <f t="shared" ca="1" si="88"/>
        <v>104.15860930745632</v>
      </c>
      <c r="AG252" s="225">
        <f t="shared" ca="1" si="88"/>
        <v>107.41288135599642</v>
      </c>
      <c r="AH252" s="225">
        <f t="shared" ca="1" si="88"/>
        <v>110.79857592957373</v>
      </c>
      <c r="AI252" s="225">
        <f t="shared" ca="1" si="88"/>
        <v>114.30630570497129</v>
      </c>
      <c r="AJ252" s="225">
        <f t="shared" ca="1" si="88"/>
        <v>117.84845566549764</v>
      </c>
      <c r="AK252" s="225">
        <f t="shared" ca="1" si="88"/>
        <v>121.52202815106119</v>
      </c>
      <c r="AL252" s="225">
        <f t="shared" ca="1" si="88"/>
        <v>125.41150907061443</v>
      </c>
      <c r="AM252" s="225">
        <f t="shared" ca="1" si="88"/>
        <v>146.98670693088755</v>
      </c>
      <c r="AN252" s="225">
        <f t="shared" ca="1" si="88"/>
        <v>174.20368604454319</v>
      </c>
      <c r="AO252" s="225">
        <f t="shared" ca="1" si="88"/>
        <v>222.05556614290833</v>
      </c>
      <c r="AP252" s="225">
        <f t="shared" ca="1" si="88"/>
        <v>270.84774311683606</v>
      </c>
    </row>
    <row r="253" spans="1:42">
      <c r="A253" s="61" t="str">
        <f>'[5]TS BYDem'!A188</f>
        <v/>
      </c>
      <c r="B253" s="225" t="s">
        <v>288</v>
      </c>
      <c r="C253" s="225" t="s">
        <v>137</v>
      </c>
      <c r="D253" s="225" t="str">
        <f>'[5]TS BYDem'!D188</f>
        <v>IOTR</v>
      </c>
      <c r="E253" s="225" t="s">
        <v>137</v>
      </c>
      <c r="F253" s="225" t="s">
        <v>137</v>
      </c>
      <c r="G253" s="225" t="s">
        <v>137</v>
      </c>
      <c r="H253" s="225" t="s">
        <v>137</v>
      </c>
      <c r="I253" s="225">
        <v>0</v>
      </c>
      <c r="J253" s="225">
        <f>INDEX('[5]TS BYDem'!$J$10:$J$203,MATCH(D253,'[5]TS BYDem'!$D$10:$D$203,0))</f>
        <v>9.4685659246785185</v>
      </c>
      <c r="K253" s="225">
        <f t="shared" ca="1" si="82"/>
        <v>9.7150300822932927</v>
      </c>
      <c r="L253" s="225">
        <f t="shared" ca="1" si="88"/>
        <v>9.8766591057209254</v>
      </c>
      <c r="M253" s="232">
        <f t="shared" ref="M253" si="89">O253</f>
        <v>37.630000000000003</v>
      </c>
      <c r="N253" s="232">
        <f t="shared" ref="N253" si="90">O253</f>
        <v>37.630000000000003</v>
      </c>
      <c r="O253" s="232">
        <f>INDEX('[5]TS BYDem'!$O$10:$O$203,MATCH(D253,'[5]TS BYDem'!$D$10:$D$203,0))</f>
        <v>37.630000000000003</v>
      </c>
      <c r="P253" s="225">
        <f t="shared" ca="1" si="88"/>
        <v>37.957813415696535</v>
      </c>
      <c r="Q253" s="225">
        <f t="shared" ca="1" si="88"/>
        <v>37.947382988833461</v>
      </c>
      <c r="R253" s="225">
        <f t="shared" ca="1" si="88"/>
        <v>34.307164013621616</v>
      </c>
      <c r="S253" s="225">
        <f t="shared" ca="1" si="88"/>
        <v>35.268253346004599</v>
      </c>
      <c r="T253" s="225">
        <f t="shared" ca="1" si="88"/>
        <v>36.147389324463454</v>
      </c>
      <c r="U253" s="225">
        <f t="shared" ca="1" si="88"/>
        <v>37.002684327235293</v>
      </c>
      <c r="V253" s="225">
        <f t="shared" ca="1" si="88"/>
        <v>37.822217866476606</v>
      </c>
      <c r="W253" s="225">
        <f t="shared" ca="1" si="88"/>
        <v>38.683473113170201</v>
      </c>
      <c r="X253" s="225">
        <f t="shared" ca="1" si="88"/>
        <v>39.77270768987092</v>
      </c>
      <c r="Y253" s="225">
        <f t="shared" ca="1" si="88"/>
        <v>40.847041656767246</v>
      </c>
      <c r="Z253" s="225">
        <f t="shared" ca="1" si="88"/>
        <v>41.964587392096306</v>
      </c>
      <c r="AA253" s="225">
        <f t="shared" ca="1" si="88"/>
        <v>43.097033737229751</v>
      </c>
      <c r="AB253" s="225">
        <f t="shared" ca="1" si="88"/>
        <v>44.25779124099153</v>
      </c>
      <c r="AC253" s="225">
        <f t="shared" ca="1" si="88"/>
        <v>45.542223806129726</v>
      </c>
      <c r="AD253" s="225">
        <f t="shared" ca="1" si="88"/>
        <v>46.774504236952573</v>
      </c>
      <c r="AE253" s="225">
        <f t="shared" ca="1" si="88"/>
        <v>48.137910034054023</v>
      </c>
      <c r="AF253" s="225">
        <f t="shared" ca="1" si="88"/>
        <v>49.599659855864424</v>
      </c>
      <c r="AG253" s="225">
        <f t="shared" ca="1" si="88"/>
        <v>51.149323275520715</v>
      </c>
      <c r="AH253" s="225">
        <f t="shared" ca="1" si="88"/>
        <v>52.761569256355436</v>
      </c>
      <c r="AI253" s="225">
        <f t="shared" ca="1" si="88"/>
        <v>54.43192761542727</v>
      </c>
      <c r="AJ253" s="225">
        <f t="shared" ca="1" si="88"/>
        <v>56.118676645283919</v>
      </c>
      <c r="AK253" s="225">
        <f t="shared" ca="1" si="88"/>
        <v>57.868008236319007</v>
      </c>
      <c r="AL253" s="225">
        <f t="shared" ca="1" si="88"/>
        <v>59.72015403500437</v>
      </c>
      <c r="AM253" s="225">
        <f t="shared" ca="1" si="88"/>
        <v>69.994124495129498</v>
      </c>
      <c r="AN253" s="225">
        <f t="shared" ca="1" si="88"/>
        <v>82.954674902985687</v>
      </c>
      <c r="AO253" s="225">
        <f t="shared" ca="1" si="88"/>
        <v>105.74143244634523</v>
      </c>
      <c r="AP253" s="225">
        <f t="shared" ca="1" si="88"/>
        <v>128.97595331432603</v>
      </c>
    </row>
    <row r="254" spans="1:42">
      <c r="A254" s="61" t="str">
        <f>'[5]TS BYDem'!A189</f>
        <v>*</v>
      </c>
      <c r="B254" s="225" t="s">
        <v>288</v>
      </c>
      <c r="C254" s="225" t="s">
        <v>137</v>
      </c>
      <c r="D254" s="225">
        <f>'[5]TS BYDem'!D189</f>
        <v>0</v>
      </c>
      <c r="E254" s="225" t="s">
        <v>137</v>
      </c>
      <c r="F254" s="225" t="s">
        <v>137</v>
      </c>
      <c r="G254" s="225" t="s">
        <v>137</v>
      </c>
      <c r="H254" s="225" t="s">
        <v>137</v>
      </c>
      <c r="I254" s="225">
        <v>0</v>
      </c>
      <c r="J254" s="225" t="str">
        <f>INDEX('[5]TS BYDem'!$J$10:$J$203,MATCH(D254,'[5]TS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8" t="str">
        <f>[6]ITEMS_Comm!A27</f>
        <v/>
      </c>
      <c r="B9" s="59" t="str">
        <f>[6]ITEMS_Comm!B27</f>
        <v>E</v>
      </c>
      <c r="C9" s="58" t="str">
        <f>[6]ITEMS_Comm!C27</f>
        <v>RLEL</v>
      </c>
      <c r="D9" s="58" t="str">
        <f>[6]ITEMS_Comm!D27</f>
        <v>Residential - Lighting - Low Income Electrified</v>
      </c>
      <c r="E9" s="59" t="str">
        <f>[6]ITEMS_Comm!E27</f>
        <v>PJ</v>
      </c>
      <c r="F9" s="59" t="str">
        <f>[6]ITEMS_Comm!F27</f>
        <v>COM,DEM,DAYNITE,RES</v>
      </c>
    </row>
    <row r="10" spans="1:8">
      <c r="A10" s="58" t="str">
        <f>[6]ITEMS_Comm!A28</f>
        <v/>
      </c>
      <c r="B10" s="59" t="str">
        <f>[6]ITEMS_Comm!B28</f>
        <v>E</v>
      </c>
      <c r="C10" s="58" t="str">
        <f>[6]ITEMS_Comm!C28</f>
        <v>RLNL</v>
      </c>
      <c r="D10" s="58" t="str">
        <f>[6]ITEMS_Comm!D28</f>
        <v>Residential - Lighting - Low Income Electrified paraffin</v>
      </c>
      <c r="E10" s="59" t="str">
        <f>[6]ITEMS_Comm!E28</f>
        <v>PJ</v>
      </c>
      <c r="F10" s="59" t="str">
        <f>[6]ITEMS_Comm!F28</f>
        <v>COM,DEM,DAYNITE,RES</v>
      </c>
    </row>
    <row r="11" spans="1:8">
      <c r="A11" s="58" t="str">
        <f>[6]ITEMS_Comm!A29</f>
        <v/>
      </c>
      <c r="B11" s="59" t="str">
        <f>[6]ITEMS_Comm!B29</f>
        <v>E</v>
      </c>
      <c r="C11" s="58" t="str">
        <f>[6]ITEMS_Comm!C29</f>
        <v>RLEK</v>
      </c>
      <c r="D11" s="58" t="str">
        <f>[6]ITEMS_Comm!D29</f>
        <v>Residential - Cooking - Low Income Electrified</v>
      </c>
      <c r="E11" s="59" t="str">
        <f>[6]ITEMS_Comm!E29</f>
        <v>PJ</v>
      </c>
      <c r="F11" s="59" t="str">
        <f>[6]ITEMS_Comm!F29</f>
        <v>COM,DEM,DAYNITE,RES</v>
      </c>
    </row>
    <row r="12" spans="1:8">
      <c r="A12" s="58" t="str">
        <f>[6]ITEMS_Comm!A30</f>
        <v/>
      </c>
      <c r="B12" s="59" t="str">
        <f>[6]ITEMS_Comm!B30</f>
        <v>E</v>
      </c>
      <c r="C12" s="58" t="str">
        <f>[6]ITEMS_Comm!C30</f>
        <v>RLEH</v>
      </c>
      <c r="D12" s="58" t="str">
        <f>[6]ITEMS_Comm!D30</f>
        <v>Residential - Space Heating - Low Income Electrified</v>
      </c>
      <c r="E12" s="59" t="str">
        <f>[6]ITEMS_Comm!E30</f>
        <v>PJ</v>
      </c>
      <c r="F12" s="59" t="str">
        <f>[6]ITEMS_Comm!F30</f>
        <v>COM,DEM,DAYNITE,RES</v>
      </c>
    </row>
    <row r="13" spans="1:8">
      <c r="A13" s="58" t="str">
        <f>[6]ITEMS_Comm!A31</f>
        <v/>
      </c>
      <c r="B13" s="59" t="str">
        <f>[6]ITEMS_Comm!B31</f>
        <v>E</v>
      </c>
      <c r="C13" s="58" t="str">
        <f>[6]ITEMS_Comm!C31</f>
        <v>RLEWG</v>
      </c>
      <c r="D13" s="58" t="str">
        <f>[6]ITEMS_Comm!D31</f>
        <v>Residential - Water Heating Geyser - Low Income Electrified</v>
      </c>
      <c r="E13" s="59" t="str">
        <f>[6]ITEMS_Comm!E31</f>
        <v>PJ</v>
      </c>
      <c r="F13" s="59" t="str">
        <f>[6]ITEMS_Comm!F31</f>
        <v>COM,DEM,DAYNITE,RES</v>
      </c>
    </row>
    <row r="14" spans="1:8">
      <c r="A14" s="58" t="str">
        <f>[6]ITEMS_Comm!A32</f>
        <v/>
      </c>
      <c r="B14" s="59" t="str">
        <f>[6]ITEMS_Comm!B32</f>
        <v>E</v>
      </c>
      <c r="C14" s="58" t="str">
        <f>[6]ITEMS_Comm!C32</f>
        <v>RLEW</v>
      </c>
      <c r="D14" s="58" t="str">
        <f>[6]ITEMS_Comm!D32</f>
        <v>Residential - Water Heating - Low Income Electrified</v>
      </c>
      <c r="E14" s="59" t="str">
        <f>[6]ITEMS_Comm!E32</f>
        <v>PJ</v>
      </c>
      <c r="F14" s="59" t="str">
        <f>[6]ITEMS_Comm!F32</f>
        <v>COM,DEM,DAYNITE,RES</v>
      </c>
    </row>
    <row r="15" spans="1:8">
      <c r="A15" s="58" t="str">
        <f>[6]ITEMS_Comm!A33</f>
        <v/>
      </c>
      <c r="B15" s="59" t="str">
        <f>[6]ITEMS_Comm!B33</f>
        <v>E</v>
      </c>
      <c r="C15" s="58" t="str">
        <f>[6]ITEMS_Comm!C33</f>
        <v>RLER</v>
      </c>
      <c r="D15" s="58" t="str">
        <f>[6]ITEMS_Comm!D33</f>
        <v>Residential - Refrigeration - Low Income Electrified</v>
      </c>
      <c r="E15" s="59" t="str">
        <f>[6]ITEMS_Comm!E33</f>
        <v>PJ</v>
      </c>
      <c r="F15" s="59" t="str">
        <f>[6]ITEMS_Comm!F33</f>
        <v>COM,DEM,DAYNITE,RES</v>
      </c>
    </row>
    <row r="16" spans="1:8">
      <c r="A16" s="58" t="str">
        <f>[6]ITEMS_Comm!A34</f>
        <v/>
      </c>
      <c r="B16" s="59" t="str">
        <f>[6]ITEMS_Comm!B34</f>
        <v>E</v>
      </c>
      <c r="C16" s="58" t="str">
        <f>[6]ITEMS_Comm!C34</f>
        <v>RLEO</v>
      </c>
      <c r="D16" s="58" t="str">
        <f>[6]ITEMS_Comm!D34</f>
        <v>Residential - Other - Low Income Electrified</v>
      </c>
      <c r="E16" s="59" t="str">
        <f>[6]ITEMS_Comm!E34</f>
        <v>PJ</v>
      </c>
      <c r="F16" s="59" t="str">
        <f>[6]ITEMS_Comm!F34</f>
        <v>COM,DEM,DAYNITE,RES</v>
      </c>
    </row>
    <row r="17" spans="1:6">
      <c r="A17" s="58" t="str">
        <f>[6]ITEMS_Comm!A35</f>
        <v>*</v>
      </c>
      <c r="B17" s="59" t="str">
        <f>[6]ITEMS_Comm!B35</f>
        <v>E</v>
      </c>
      <c r="C17" s="58">
        <f>[6]ITEMS_Comm!C35</f>
        <v>0</v>
      </c>
      <c r="D17" s="58" t="str">
        <f>[6]ITEMS_Comm!D35</f>
        <v/>
      </c>
      <c r="E17" s="59" t="str">
        <f>[6]ITEMS_Comm!E35</f>
        <v/>
      </c>
      <c r="F17" s="59" t="str">
        <f>[6]ITEMS_Comm!F35</f>
        <v/>
      </c>
    </row>
    <row r="18" spans="1:6">
      <c r="A18" s="58" t="str">
        <f>[6]ITEMS_Comm!A36</f>
        <v>*</v>
      </c>
      <c r="B18" s="59" t="str">
        <f>[6]ITEMS_Comm!B36</f>
        <v>E</v>
      </c>
      <c r="C18" s="58">
        <f>[6]ITEMS_Comm!C36</f>
        <v>0</v>
      </c>
      <c r="D18" s="58" t="str">
        <f>[6]ITEMS_Comm!D36</f>
        <v/>
      </c>
      <c r="E18" s="59" t="str">
        <f>[6]ITEMS_Comm!E36</f>
        <v/>
      </c>
      <c r="F18" s="59" t="str">
        <f>[6]ITEMS_Comm!F36</f>
        <v/>
      </c>
    </row>
    <row r="19" spans="1:6">
      <c r="A19" s="58" t="str">
        <f>[6]ITEMS_Comm!A37</f>
        <v>*</v>
      </c>
      <c r="B19" s="59" t="str">
        <f>[6]ITEMS_Comm!B37</f>
        <v>E</v>
      </c>
      <c r="C19" s="58">
        <f>[6]ITEMS_Comm!C37</f>
        <v>0</v>
      </c>
      <c r="D19" s="58" t="str">
        <f>[6]ITEMS_Comm!D37</f>
        <v/>
      </c>
      <c r="E19" s="59" t="str">
        <f>[6]ITEMS_Comm!E37</f>
        <v/>
      </c>
      <c r="F19" s="59" t="str">
        <f>[6]ITEMS_Comm!F37</f>
        <v/>
      </c>
    </row>
    <row r="20" spans="1:6">
      <c r="A20" s="58" t="str">
        <f>[6]ITEMS_Comm!A38</f>
        <v/>
      </c>
      <c r="B20" s="59" t="str">
        <f>[6]ITEMS_Comm!B38</f>
        <v>E</v>
      </c>
      <c r="C20" s="58" t="str">
        <f>[6]ITEMS_Comm!C38</f>
        <v>RMEL</v>
      </c>
      <c r="D20" s="58" t="str">
        <f>[6]ITEMS_Comm!D38</f>
        <v>Residential - Lighting - Middle Income Electrified</v>
      </c>
      <c r="E20" s="59" t="str">
        <f>[6]ITEMS_Comm!E38</f>
        <v>PJ</v>
      </c>
      <c r="F20" s="59" t="str">
        <f>[6]ITEMS_Comm!F38</f>
        <v>COM,DEM,DAYNITE,RES</v>
      </c>
    </row>
    <row r="21" spans="1:6">
      <c r="A21" s="58" t="str">
        <f>[6]ITEMS_Comm!A39</f>
        <v/>
      </c>
      <c r="B21" s="59" t="str">
        <f>[6]ITEMS_Comm!B39</f>
        <v>E</v>
      </c>
      <c r="C21" s="58" t="str">
        <f>[6]ITEMS_Comm!C39</f>
        <v>RMNL</v>
      </c>
      <c r="D21" s="58" t="str">
        <f>[6]ITEMS_Comm!D39</f>
        <v>Residential - Lighting - Middle Income Electrified paraffin</v>
      </c>
      <c r="E21" s="59" t="str">
        <f>[6]ITEMS_Comm!E39</f>
        <v>PJ</v>
      </c>
      <c r="F21" s="59" t="str">
        <f>[6]ITEMS_Comm!F39</f>
        <v>COM,DEM,DAYNITE,RES</v>
      </c>
    </row>
    <row r="22" spans="1:6">
      <c r="A22" s="58" t="str">
        <f>[6]ITEMS_Comm!A40</f>
        <v/>
      </c>
      <c r="B22" s="59" t="str">
        <f>[6]ITEMS_Comm!B40</f>
        <v>E</v>
      </c>
      <c r="C22" s="58" t="str">
        <f>[6]ITEMS_Comm!C40</f>
        <v>RMEK</v>
      </c>
      <c r="D22" s="58" t="str">
        <f>[6]ITEMS_Comm!D40</f>
        <v>Residential - Cooking - Middle Income Electrified</v>
      </c>
      <c r="E22" s="59" t="str">
        <f>[6]ITEMS_Comm!E40</f>
        <v>PJ</v>
      </c>
      <c r="F22" s="59" t="str">
        <f>[6]ITEMS_Comm!F40</f>
        <v>COM,DEM,DAYNITE,RES</v>
      </c>
    </row>
    <row r="23" spans="1:6">
      <c r="A23" s="58" t="str">
        <f>[6]ITEMS_Comm!A41</f>
        <v/>
      </c>
      <c r="B23" s="59" t="str">
        <f>[6]ITEMS_Comm!B41</f>
        <v>E</v>
      </c>
      <c r="C23" s="58" t="str">
        <f>[6]ITEMS_Comm!C41</f>
        <v>RMEH</v>
      </c>
      <c r="D23" s="58" t="str">
        <f>[6]ITEMS_Comm!D41</f>
        <v>Residential - Space Heating - Middle Income Electrified</v>
      </c>
      <c r="E23" s="59" t="str">
        <f>[6]ITEMS_Comm!E41</f>
        <v>PJ</v>
      </c>
      <c r="F23" s="59" t="str">
        <f>[6]ITEMS_Comm!F41</f>
        <v>COM,DEM,DAYNITE,RES</v>
      </c>
    </row>
    <row r="24" spans="1:6">
      <c r="A24" s="58" t="str">
        <f>[6]ITEMS_Comm!A42</f>
        <v/>
      </c>
      <c r="B24" s="59" t="str">
        <f>[6]ITEMS_Comm!B42</f>
        <v>E</v>
      </c>
      <c r="C24" s="58" t="str">
        <f>[6]ITEMS_Comm!C42</f>
        <v>RMEWG</v>
      </c>
      <c r="D24" s="58" t="str">
        <f>[6]ITEMS_Comm!D42</f>
        <v>Residential - Water Heating Geyser - Middle Income Electrified</v>
      </c>
      <c r="E24" s="59" t="str">
        <f>[6]ITEMS_Comm!E42</f>
        <v>PJ</v>
      </c>
      <c r="F24" s="59" t="str">
        <f>[6]ITEMS_Comm!F42</f>
        <v>COM,DEM,DAYNITE,RES</v>
      </c>
    </row>
    <row r="25" spans="1:6">
      <c r="A25" s="58" t="str">
        <f>[6]ITEMS_Comm!A43</f>
        <v/>
      </c>
      <c r="B25" s="59" t="str">
        <f>[6]ITEMS_Comm!B43</f>
        <v>E</v>
      </c>
      <c r="C25" s="58" t="str">
        <f>[6]ITEMS_Comm!C43</f>
        <v>RMEW</v>
      </c>
      <c r="D25" s="58">
        <f>[6]ITEMS_Comm!D43</f>
        <v>0</v>
      </c>
      <c r="E25" s="59" t="str">
        <f>[6]ITEMS_Comm!E43</f>
        <v>PJ</v>
      </c>
      <c r="F25" s="59" t="str">
        <f>[6]ITEMS_Comm!F43</f>
        <v>COM,DEM,DAYNITE,RES</v>
      </c>
    </row>
    <row r="26" spans="1:6">
      <c r="A26" s="58" t="str">
        <f>[6]ITEMS_Comm!A44</f>
        <v/>
      </c>
      <c r="B26" s="59" t="str">
        <f>[6]ITEMS_Comm!B44</f>
        <v>E</v>
      </c>
      <c r="C26" s="58" t="str">
        <f>[6]ITEMS_Comm!C44</f>
        <v>RMER</v>
      </c>
      <c r="D26" s="58" t="str">
        <f>[6]ITEMS_Comm!D44</f>
        <v>Residential - Refrigeration - Middle Income Electrified</v>
      </c>
      <c r="E26" s="59" t="str">
        <f>[6]ITEMS_Comm!E44</f>
        <v>PJ</v>
      </c>
      <c r="F26" s="59" t="str">
        <f>[6]ITEMS_Comm!F44</f>
        <v>COM,DEM,DAYNITE,RES</v>
      </c>
    </row>
    <row r="27" spans="1:6">
      <c r="A27" s="58" t="str">
        <f>[6]ITEMS_Comm!A45</f>
        <v/>
      </c>
      <c r="B27" s="59" t="str">
        <f>[6]ITEMS_Comm!B45</f>
        <v>E</v>
      </c>
      <c r="C27" s="58" t="str">
        <f>[6]ITEMS_Comm!C45</f>
        <v>RMEO</v>
      </c>
      <c r="D27" s="58" t="str">
        <f>[6]ITEMS_Comm!D45</f>
        <v>Residential - Other - Middle Income Electrified</v>
      </c>
      <c r="E27" s="59" t="str">
        <f>[6]ITEMS_Comm!E45</f>
        <v>PJ</v>
      </c>
      <c r="F27" s="59" t="str">
        <f>[6]ITEMS_Comm!F45</f>
        <v>COM,DEM,DAYNITE,RES</v>
      </c>
    </row>
    <row r="28" spans="1:6">
      <c r="A28" s="58" t="str">
        <f>[6]ITEMS_Comm!A46</f>
        <v>*</v>
      </c>
      <c r="B28" s="59" t="str">
        <f>[6]ITEMS_Comm!B46</f>
        <v>E</v>
      </c>
      <c r="C28" s="58">
        <f>[6]ITEMS_Comm!C46</f>
        <v>0</v>
      </c>
      <c r="D28" s="58" t="str">
        <f>[6]ITEMS_Comm!D46</f>
        <v/>
      </c>
      <c r="E28" s="59" t="str">
        <f>[6]ITEMS_Comm!E46</f>
        <v/>
      </c>
      <c r="F28" s="59" t="str">
        <f>[6]ITEMS_Comm!F46</f>
        <v/>
      </c>
    </row>
    <row r="29" spans="1:6">
      <c r="A29" s="58" t="str">
        <f>[6]ITEMS_Comm!A47</f>
        <v>*</v>
      </c>
      <c r="B29" s="59" t="str">
        <f>[6]ITEMS_Comm!B47</f>
        <v>E</v>
      </c>
      <c r="C29" s="58">
        <f>[6]ITEMS_Comm!C47</f>
        <v>0</v>
      </c>
      <c r="D29" s="58" t="str">
        <f>[6]ITEMS_Comm!D47</f>
        <v/>
      </c>
      <c r="E29" s="59" t="str">
        <f>[6]ITEMS_Comm!E47</f>
        <v/>
      </c>
      <c r="F29" s="59" t="str">
        <f>[6]ITEMS_Comm!F47</f>
        <v/>
      </c>
    </row>
    <row r="30" spans="1:6">
      <c r="A30" s="58" t="str">
        <f>[6]ITEMS_Comm!A48</f>
        <v>*</v>
      </c>
      <c r="B30" s="59" t="str">
        <f>[6]ITEMS_Comm!B48</f>
        <v>E</v>
      </c>
      <c r="C30" s="58">
        <f>[6]ITEMS_Comm!C48</f>
        <v>0</v>
      </c>
      <c r="D30" s="58" t="str">
        <f>[6]ITEMS_Comm!D48</f>
        <v/>
      </c>
      <c r="E30" s="59" t="str">
        <f>[6]ITEMS_Comm!E48</f>
        <v/>
      </c>
      <c r="F30" s="59" t="str">
        <f>[6]ITEMS_Comm!F48</f>
        <v/>
      </c>
    </row>
    <row r="31" spans="1:6">
      <c r="A31" s="58" t="str">
        <f>[6]ITEMS_Comm!A49</f>
        <v/>
      </c>
      <c r="B31" s="59" t="str">
        <f>[6]ITEMS_Comm!B49</f>
        <v>E</v>
      </c>
      <c r="C31" s="58" t="str">
        <f>[6]ITEMS_Comm!C49</f>
        <v>RHEL</v>
      </c>
      <c r="D31" s="58" t="str">
        <f>[6]ITEMS_Comm!D49</f>
        <v>Residential - Lighting - High Income Electrified</v>
      </c>
      <c r="E31" s="59" t="str">
        <f>[6]ITEMS_Comm!E49</f>
        <v>PJ</v>
      </c>
      <c r="F31" s="59" t="str">
        <f>[6]ITEMS_Comm!F49</f>
        <v>COM,DEM,DAYNITE,RES</v>
      </c>
    </row>
    <row r="32" spans="1:6">
      <c r="A32" s="58" t="str">
        <f>[6]ITEMS_Comm!A50</f>
        <v/>
      </c>
      <c r="B32" s="59" t="str">
        <f>[6]ITEMS_Comm!B50</f>
        <v>E</v>
      </c>
      <c r="C32" s="58" t="str">
        <f>[6]ITEMS_Comm!C50</f>
        <v>RHEK</v>
      </c>
      <c r="D32" s="58" t="str">
        <f>[6]ITEMS_Comm!D50</f>
        <v>Residential - Cooking - High Income Electrified</v>
      </c>
      <c r="E32" s="59" t="str">
        <f>[6]ITEMS_Comm!E50</f>
        <v>PJ</v>
      </c>
      <c r="F32" s="59" t="str">
        <f>[6]ITEMS_Comm!F50</f>
        <v>COM,DEM,DAYNITE,RES</v>
      </c>
    </row>
    <row r="33" spans="1:6">
      <c r="A33" s="58" t="str">
        <f>[6]ITEMS_Comm!A51</f>
        <v/>
      </c>
      <c r="B33" s="59" t="str">
        <f>[6]ITEMS_Comm!B51</f>
        <v>E</v>
      </c>
      <c r="C33" s="58" t="str">
        <f>[6]ITEMS_Comm!C51</f>
        <v>RHEH</v>
      </c>
      <c r="D33" s="58" t="str">
        <f>[6]ITEMS_Comm!D51</f>
        <v>Residential - Space Heating - High Income Electrified</v>
      </c>
      <c r="E33" s="59" t="str">
        <f>[6]ITEMS_Comm!E51</f>
        <v>PJ</v>
      </c>
      <c r="F33" s="59" t="str">
        <f>[6]ITEMS_Comm!F51</f>
        <v>COM,DEM,DAYNITE,RES</v>
      </c>
    </row>
    <row r="34" spans="1:6">
      <c r="A34" s="58" t="str">
        <f>[6]ITEMS_Comm!A52</f>
        <v/>
      </c>
      <c r="B34" s="59" t="str">
        <f>[6]ITEMS_Comm!B52</f>
        <v>E</v>
      </c>
      <c r="C34" s="58" t="str">
        <f>[6]ITEMS_Comm!C52</f>
        <v>RHEWG</v>
      </c>
      <c r="D34" s="58" t="str">
        <f>[6]ITEMS_Comm!D52</f>
        <v>Residential - Water Heating Geyser - High Income Electrified</v>
      </c>
      <c r="E34" s="59" t="str">
        <f>[6]ITEMS_Comm!E52</f>
        <v>PJ</v>
      </c>
      <c r="F34" s="59" t="str">
        <f>[6]ITEMS_Comm!F52</f>
        <v>COM,DEM,DAYNITE,RES</v>
      </c>
    </row>
    <row r="35" spans="1:6">
      <c r="A35" s="58" t="str">
        <f>[6]ITEMS_Comm!A53</f>
        <v/>
      </c>
      <c r="B35" s="59" t="str">
        <f>[6]ITEMS_Comm!B53</f>
        <v>E</v>
      </c>
      <c r="C35" s="58" t="str">
        <f>[6]ITEMS_Comm!C53</f>
        <v>RHEW</v>
      </c>
      <c r="D35" s="58" t="str">
        <f>[6]ITEMS_Comm!D53</f>
        <v xml:space="preserve">Residential -water heating non geyser high income </v>
      </c>
      <c r="E35" s="59" t="str">
        <f>[6]ITEMS_Comm!E53</f>
        <v>PJ</v>
      </c>
      <c r="F35" s="59" t="str">
        <f>[6]ITEMS_Comm!F53</f>
        <v>COM,DEM,DAYNITE,RES</v>
      </c>
    </row>
    <row r="36" spans="1:6">
      <c r="A36" s="58" t="str">
        <f>[6]ITEMS_Comm!A54</f>
        <v/>
      </c>
      <c r="B36" s="59" t="str">
        <f>[6]ITEMS_Comm!B54</f>
        <v>E</v>
      </c>
      <c r="C36" s="58" t="str">
        <f>[6]ITEMS_Comm!C54</f>
        <v>RHER</v>
      </c>
      <c r="D36" s="58" t="str">
        <f>[6]ITEMS_Comm!D54</f>
        <v>Residential - Refrigeration - High Income Electrified</v>
      </c>
      <c r="E36" s="59" t="str">
        <f>[6]ITEMS_Comm!E54</f>
        <v>PJ</v>
      </c>
      <c r="F36" s="59" t="str">
        <f>[6]ITEMS_Comm!F54</f>
        <v>COM,DEM,DAYNITE,RES</v>
      </c>
    </row>
    <row r="37" spans="1:6">
      <c r="A37" s="58" t="str">
        <f>[6]ITEMS_Comm!A55</f>
        <v/>
      </c>
      <c r="B37" s="59" t="str">
        <f>[6]ITEMS_Comm!B55</f>
        <v>E</v>
      </c>
      <c r="C37" s="58" t="str">
        <f>[6]ITEMS_Comm!C55</f>
        <v>RHEO</v>
      </c>
      <c r="D37" s="58" t="str">
        <f>[6]ITEMS_Comm!D55</f>
        <v>Residential - Other - High Income Electrified</v>
      </c>
      <c r="E37" s="59" t="str">
        <f>[6]ITEMS_Comm!E55</f>
        <v>PJ</v>
      </c>
      <c r="F37" s="59" t="str">
        <f>[6]ITEMS_Comm!F55</f>
        <v>COM,DEM,DAYNITE,RES</v>
      </c>
    </row>
    <row r="38" spans="1:6">
      <c r="A38" s="58" t="str">
        <f>[6]ITEMS_Comm!A56</f>
        <v>*</v>
      </c>
      <c r="B38" s="59" t="str">
        <f>[6]ITEMS_Comm!B56</f>
        <v>E</v>
      </c>
      <c r="C38" s="58">
        <f>[6]ITEMS_Comm!C56</f>
        <v>0</v>
      </c>
      <c r="D38" s="58" t="str">
        <f>[6]ITEMS_Comm!D56</f>
        <v/>
      </c>
      <c r="E38" s="59" t="str">
        <f>[6]ITEMS_Comm!E56</f>
        <v/>
      </c>
      <c r="F38" s="59" t="str">
        <f>[6]ITEMS_Comm!F56</f>
        <v/>
      </c>
    </row>
    <row r="39" spans="1:6">
      <c r="A39" s="58" t="str">
        <f>[6]ITEMS_Comm!A57</f>
        <v>*</v>
      </c>
      <c r="B39" s="59" t="str">
        <f>[6]ITEMS_Comm!B57</f>
        <v>E</v>
      </c>
      <c r="C39" s="58">
        <f>[6]ITEMS_Comm!C57</f>
        <v>0</v>
      </c>
      <c r="D39" s="58" t="str">
        <f>[6]ITEMS_Comm!D57</f>
        <v/>
      </c>
      <c r="E39" s="59" t="str">
        <f>[6]ITEMS_Comm!E57</f>
        <v/>
      </c>
      <c r="F39" s="59" t="str">
        <f>[6]ITEMS_Comm!F57</f>
        <v/>
      </c>
    </row>
    <row r="40" spans="1:6">
      <c r="A40" s="58" t="str">
        <f>[6]ITEMS_Comm!A58</f>
        <v>*</v>
      </c>
      <c r="B40" s="59" t="str">
        <f>[6]ITEMS_Comm!B58</f>
        <v>E</v>
      </c>
      <c r="C40" s="58">
        <f>[6]ITEMS_Comm!C58</f>
        <v>0</v>
      </c>
      <c r="D40" s="58" t="str">
        <f>[6]ITEMS_Comm!D58</f>
        <v/>
      </c>
      <c r="E40" s="59" t="str">
        <f>[6]ITEMS_Comm!E58</f>
        <v/>
      </c>
      <c r="F40" s="59" t="str">
        <f>[6]ITEMS_Comm!F58</f>
        <v/>
      </c>
    </row>
    <row r="41" spans="1:6">
      <c r="A41" s="58" t="str">
        <f>[6]ITEMS_Comm!A59</f>
        <v>*</v>
      </c>
      <c r="B41" s="59" t="str">
        <f>[6]ITEMS_Comm!B59</f>
        <v>E</v>
      </c>
      <c r="C41" s="58">
        <f>[6]ITEMS_Comm!C59</f>
        <v>0</v>
      </c>
      <c r="D41" s="58" t="str">
        <f>[6]ITEMS_Comm!D59</f>
        <v/>
      </c>
      <c r="E41" s="59" t="str">
        <f>[6]ITEMS_Comm!E59</f>
        <v/>
      </c>
      <c r="F41" s="59" t="str">
        <f>[6]ITEMS_Comm!F59</f>
        <v/>
      </c>
    </row>
    <row r="42" spans="1:6">
      <c r="A42" s="58" t="str">
        <f>[6]ITEMS_Comm!A60</f>
        <v>*</v>
      </c>
      <c r="B42" s="59" t="str">
        <f>[6]ITEMS_Comm!B60</f>
        <v>E</v>
      </c>
      <c r="C42" s="58">
        <f>[6]ITEMS_Comm!C60</f>
        <v>0</v>
      </c>
      <c r="D42" s="58" t="str">
        <f>[6]ITEMS_Comm!D60</f>
        <v/>
      </c>
      <c r="E42" s="59" t="str">
        <f>[6]ITEMS_Comm!E60</f>
        <v/>
      </c>
      <c r="F42" s="59" t="str">
        <f>[6]ITEMS_Comm!F60</f>
        <v/>
      </c>
    </row>
    <row r="43" spans="1:6">
      <c r="A43" s="58" t="str">
        <f>[6]ITEMS_Comm!A61</f>
        <v>*</v>
      </c>
      <c r="B43" s="59" t="str">
        <f>[6]ITEMS_Comm!B61</f>
        <v>E</v>
      </c>
      <c r="C43" s="58">
        <f>[6]ITEMS_Comm!C61</f>
        <v>0</v>
      </c>
      <c r="D43" s="58" t="str">
        <f>[6]ITEMS_Comm!D61</f>
        <v/>
      </c>
      <c r="E43" s="59" t="str">
        <f>[6]ITEMS_Comm!E61</f>
        <v/>
      </c>
      <c r="F43" s="59" t="str">
        <f>[6]ITEMS_Comm!F61</f>
        <v/>
      </c>
    </row>
    <row r="44" spans="1:6">
      <c r="A44" s="58" t="str">
        <f>[6]ITEMS_Comm!A62</f>
        <v>*</v>
      </c>
      <c r="B44" s="59" t="str">
        <f>[6]ITEMS_Comm!B62</f>
        <v>E</v>
      </c>
      <c r="C44" s="58">
        <f>[6]ITEMS_Comm!C62</f>
        <v>0</v>
      </c>
      <c r="D44" s="58" t="str">
        <f>[6]ITEMS_Comm!D62</f>
        <v/>
      </c>
      <c r="E44" s="59" t="str">
        <f>[6]ITEMS_Comm!E62</f>
        <v/>
      </c>
      <c r="F44" s="59" t="str">
        <f>[6]ITEMS_Comm!F62</f>
        <v/>
      </c>
    </row>
    <row r="45" spans="1:6">
      <c r="A45" s="58" t="str">
        <f>[6]ITEMS_Comm!A63</f>
        <v>*</v>
      </c>
      <c r="B45" s="59" t="str">
        <f>[6]ITEMS_Comm!B63</f>
        <v>E</v>
      </c>
      <c r="C45" s="58">
        <f>[6]ITEMS_Comm!C63</f>
        <v>0</v>
      </c>
      <c r="D45" s="58" t="str">
        <f>[6]ITEMS_Comm!D63</f>
        <v/>
      </c>
      <c r="E45" s="59" t="str">
        <f>[6]ITEMS_Comm!E63</f>
        <v/>
      </c>
      <c r="F45" s="59" t="str">
        <f>[6]ITEMS_Comm!F63</f>
        <v/>
      </c>
    </row>
    <row r="46" spans="1:6">
      <c r="A46" s="58" t="str">
        <f>[6]ITEMS_Comm!A64</f>
        <v>*</v>
      </c>
      <c r="B46" s="59" t="str">
        <f>[6]ITEMS_Comm!B64</f>
        <v>E</v>
      </c>
      <c r="C46" s="58">
        <f>[6]ITEMS_Comm!C64</f>
        <v>0</v>
      </c>
      <c r="D46" s="58" t="str">
        <f>[6]ITEMS_Comm!D64</f>
        <v/>
      </c>
      <c r="E46" s="59" t="str">
        <f>[6]ITEMS_Comm!E64</f>
        <v/>
      </c>
      <c r="F46" s="59" t="str">
        <f>[6]ITEMS_Comm!F64</f>
        <v/>
      </c>
    </row>
    <row r="47" spans="1:6">
      <c r="A47" s="58" t="str">
        <f>[6]ITEMS_Comm!A65</f>
        <v>*</v>
      </c>
      <c r="B47" s="59" t="str">
        <f>[6]ITEMS_Comm!B65</f>
        <v>E</v>
      </c>
      <c r="C47" s="58">
        <f>[6]ITEMS_Comm!C65</f>
        <v>0</v>
      </c>
      <c r="D47" s="58" t="str">
        <f>[6]ITEMS_Comm!D65</f>
        <v/>
      </c>
      <c r="E47" s="59" t="str">
        <f>[6]ITEMS_Comm!E65</f>
        <v/>
      </c>
      <c r="F47" s="59" t="str">
        <f>[6]ITEMS_Comm!F65</f>
        <v/>
      </c>
    </row>
    <row r="48" spans="1:6">
      <c r="A48" s="58" t="str">
        <f>[6]ITEMS_Comm!A66</f>
        <v>*</v>
      </c>
      <c r="B48" s="59" t="str">
        <f>[6]ITEMS_Comm!B66</f>
        <v>E</v>
      </c>
      <c r="C48" s="58">
        <f>[6]ITEMS_Comm!C66</f>
        <v>0</v>
      </c>
      <c r="D48" s="58" t="str">
        <f>[6]ITEMS_Comm!D66</f>
        <v/>
      </c>
      <c r="E48" s="59" t="str">
        <f>[6]ITEMS_Comm!E66</f>
        <v/>
      </c>
      <c r="F48" s="59" t="str">
        <f>[6]ITEMS_Comm!F66</f>
        <v/>
      </c>
    </row>
    <row r="49" spans="1:6">
      <c r="A49" s="58" t="str">
        <f>[6]ITEMS_Comm!A67</f>
        <v>*</v>
      </c>
      <c r="B49" s="59" t="str">
        <f>[6]ITEMS_Comm!B67</f>
        <v>E</v>
      </c>
      <c r="C49" s="58">
        <f>[6]ITEMS_Comm!C67</f>
        <v>0</v>
      </c>
      <c r="D49" s="58" t="str">
        <f>[6]ITEMS_Comm!D67</f>
        <v/>
      </c>
      <c r="E49" s="59" t="str">
        <f>[6]ITEMS_Comm!E67</f>
        <v/>
      </c>
      <c r="F49" s="59" t="str">
        <f>[6]ITEMS_Comm!F67</f>
        <v/>
      </c>
    </row>
    <row r="50" spans="1:6">
      <c r="A50" s="18" t="str">
        <f>[6]ITEMS_Comm!A68</f>
        <v>*</v>
      </c>
      <c r="B50" s="18" t="str">
        <f>[6]ITEMS_Comm!B68</f>
        <v>E</v>
      </c>
      <c r="C50" s="18">
        <f>[6]ITEMS_Comm!C68</f>
        <v>0</v>
      </c>
      <c r="D50" s="18" t="str">
        <f>[6]ITEMS_Comm!D68</f>
        <v/>
      </c>
      <c r="E50" s="18" t="str">
        <f>[6]ITEMS_Comm!E68</f>
        <v/>
      </c>
      <c r="F50" s="18" t="str">
        <f>[6]ITEMS_Comm!F68</f>
        <v/>
      </c>
    </row>
    <row r="51" spans="1:6">
      <c r="A51" s="18" t="str">
        <f>[6]ITEMS_Comm!A69</f>
        <v>*</v>
      </c>
      <c r="B51" s="18" t="str">
        <f>[6]ITEMS_Comm!B69</f>
        <v>E</v>
      </c>
      <c r="C51" s="18">
        <f>[6]ITEMS_Comm!C69</f>
        <v>0</v>
      </c>
      <c r="D51" s="18" t="str">
        <f>[6]ITEMS_Comm!D69</f>
        <v/>
      </c>
      <c r="E51" s="18" t="str">
        <f>[6]ITEMS_Comm!E69</f>
        <v/>
      </c>
      <c r="F51" s="18" t="str">
        <f>[6]ITEMS_Comm!F69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9"/>
  <sheetViews>
    <sheetView tabSelected="1" topLeftCell="A97" zoomScale="80" zoomScaleNormal="80" workbookViewId="0">
      <selection activeCell="G91" sqref="G91"/>
    </sheetView>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8.7109375" style="41" bestFit="1" customWidth="1"/>
    <col min="11" max="15" width="13.140625" style="4" bestFit="1" customWidth="1"/>
    <col min="16" max="16" width="12.140625" style="4" bestFit="1" customWidth="1"/>
    <col min="17" max="20" width="13.140625" style="4" bestFit="1" customWidth="1"/>
    <col min="21"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304" t="s">
        <v>197</v>
      </c>
      <c r="C2" s="304"/>
      <c r="I2" s="143"/>
      <c r="J2" s="4"/>
      <c r="BB2" s="4" t="s">
        <v>295</v>
      </c>
    </row>
    <row r="3" spans="1:54" ht="15.75" thickBot="1">
      <c r="A3" s="4" t="s">
        <v>16</v>
      </c>
      <c r="C3" s="20"/>
      <c r="D3" s="20"/>
      <c r="E3" s="14"/>
      <c r="F3" s="14"/>
      <c r="G3" s="14"/>
      <c r="H3" s="14"/>
      <c r="I3" s="172"/>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393</v>
      </c>
      <c r="D4" s="15">
        <v>1</v>
      </c>
      <c r="E4" s="9">
        <v>2012</v>
      </c>
      <c r="F4" s="9">
        <v>2020</v>
      </c>
      <c r="G4" s="15">
        <v>2030</v>
      </c>
      <c r="H4" s="15">
        <v>2040</v>
      </c>
      <c r="I4" s="173">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394</v>
      </c>
      <c r="D5" s="15">
        <v>0</v>
      </c>
      <c r="E5" s="4">
        <f>INDEX($E4:$I4,0,COUNT($E4:$I4)-E6)</f>
        <v>2050</v>
      </c>
      <c r="F5" s="4">
        <f>INDEX($E4:$I4,0,COUNT($E4:$I4)-F6)</f>
        <v>2040</v>
      </c>
      <c r="G5" s="4">
        <f>INDEX($E4:$I4,0,COUNT($E4:$I4)-G6)</f>
        <v>2030</v>
      </c>
      <c r="H5" s="4">
        <f>INDEX($E4:$I4,0,COUNT($E4:$I4)-H6)</f>
        <v>2020</v>
      </c>
      <c r="I5" s="143">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392</v>
      </c>
      <c r="D6" s="15">
        <v>-1</v>
      </c>
      <c r="E6" s="4">
        <v>0</v>
      </c>
      <c r="F6" s="4">
        <v>1</v>
      </c>
      <c r="G6" s="4">
        <v>2</v>
      </c>
      <c r="H6" s="4">
        <v>3</v>
      </c>
      <c r="I6" s="143">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395</v>
      </c>
      <c r="I7" s="143"/>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69"/>
      <c r="C8" s="20" t="s">
        <v>44</v>
      </c>
      <c r="D8" s="20"/>
      <c r="I8" s="143"/>
      <c r="J8" s="9"/>
    </row>
    <row r="9" spans="1:54">
      <c r="A9" s="4" t="s">
        <v>16</v>
      </c>
      <c r="C9" s="4" t="s">
        <v>41</v>
      </c>
      <c r="D9" s="4" t="s">
        <v>47</v>
      </c>
      <c r="J9" s="42"/>
      <c r="K9" s="170"/>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E17" s="4">
        <f>E22/$E$25</f>
        <v>0.50003199863472492</v>
      </c>
      <c r="F17" s="225">
        <f>F22/$F$25</f>
        <v>0.47398769619141334</v>
      </c>
      <c r="K17" s="129">
        <f>K22/K$25</f>
        <v>0.49674335943460579</v>
      </c>
      <c r="L17" s="129">
        <f t="shared" ref="L17:AP19" si="3">L22/L$25</f>
        <v>0.48822868689454446</v>
      </c>
      <c r="M17" s="129">
        <f t="shared" si="3"/>
        <v>0.48147500627885365</v>
      </c>
      <c r="N17" s="129">
        <f t="shared" si="3"/>
        <v>0.47737656478533347</v>
      </c>
      <c r="O17" s="129">
        <f t="shared" si="3"/>
        <v>0.47023794558911886</v>
      </c>
      <c r="P17" s="129">
        <f t="shared" si="3"/>
        <v>0.46353394236211087</v>
      </c>
      <c r="Q17" s="129">
        <f t="shared" si="3"/>
        <v>0.46108769196199167</v>
      </c>
      <c r="R17" s="129">
        <f t="shared" si="3"/>
        <v>0.47398769619141334</v>
      </c>
      <c r="S17" s="129">
        <f t="shared" si="3"/>
        <v>0.48802294893321585</v>
      </c>
      <c r="T17" s="129">
        <f t="shared" si="3"/>
        <v>0.48160744524963783</v>
      </c>
      <c r="U17" s="129">
        <f t="shared" si="3"/>
        <v>0.47529731801684211</v>
      </c>
      <c r="V17" s="129">
        <f t="shared" si="3"/>
        <v>0.4689535605229086</v>
      </c>
      <c r="W17" s="129">
        <f t="shared" si="3"/>
        <v>0.46306118439391969</v>
      </c>
      <c r="X17" s="129">
        <f t="shared" si="3"/>
        <v>0.4555068405538002</v>
      </c>
      <c r="Y17" s="129">
        <f t="shared" si="3"/>
        <v>0.44739940977174142</v>
      </c>
      <c r="Z17" s="129">
        <f t="shared" si="3"/>
        <v>0.43930961502928784</v>
      </c>
      <c r="AA17" s="129">
        <f t="shared" si="3"/>
        <v>0.43052643049427924</v>
      </c>
      <c r="AB17" s="129">
        <f t="shared" si="3"/>
        <v>0.42216842844292707</v>
      </c>
      <c r="AC17" s="129">
        <f t="shared" si="3"/>
        <v>0.41354960065131946</v>
      </c>
      <c r="AD17" s="129">
        <f t="shared" si="3"/>
        <v>0.40521721442606407</v>
      </c>
      <c r="AE17" s="129">
        <f t="shared" si="3"/>
        <v>0.39683874390439688</v>
      </c>
      <c r="AF17" s="129">
        <f t="shared" si="3"/>
        <v>0.38789767317654972</v>
      </c>
      <c r="AG17" s="129">
        <f t="shared" si="3"/>
        <v>0.37860953755372506</v>
      </c>
      <c r="AH17" s="129">
        <f t="shared" si="3"/>
        <v>0.3694539819598327</v>
      </c>
      <c r="AI17" s="129">
        <f t="shared" si="3"/>
        <v>0.36068644391934845</v>
      </c>
      <c r="AJ17" s="129">
        <f t="shared" si="3"/>
        <v>0.35227821304680329</v>
      </c>
      <c r="AK17" s="129">
        <f t="shared" si="3"/>
        <v>0.34415250138874304</v>
      </c>
      <c r="AL17" s="129">
        <f t="shared" si="3"/>
        <v>0.33605734555939903</v>
      </c>
      <c r="AM17" s="129">
        <f t="shared" si="3"/>
        <v>0.29595650938485324</v>
      </c>
      <c r="AN17" s="129">
        <f t="shared" si="3"/>
        <v>0.25945257650105208</v>
      </c>
      <c r="AO17" s="129">
        <f t="shared" si="3"/>
        <v>0.25945257650105208</v>
      </c>
      <c r="AP17" s="129">
        <f t="shared" si="3"/>
        <v>0.25945257650105208</v>
      </c>
      <c r="AQ17" s="129"/>
      <c r="AR17" s="129"/>
      <c r="AS17" s="129"/>
      <c r="AT17" s="129"/>
      <c r="AU17" s="129"/>
      <c r="AV17" s="129"/>
    </row>
    <row r="18" spans="1:48">
      <c r="A18" s="4" t="s">
        <v>16</v>
      </c>
      <c r="C18" s="4" t="s">
        <v>51</v>
      </c>
      <c r="D18" s="4" t="s">
        <v>48</v>
      </c>
      <c r="E18" s="225">
        <f t="shared" ref="E18:E19" si="4">E23/$E$25</f>
        <v>0.30001919918083497</v>
      </c>
      <c r="F18" s="225">
        <f t="shared" ref="F18:F19" si="5">F23/$F$25</f>
        <v>0.32375163521226069</v>
      </c>
      <c r="K18" s="129">
        <f t="shared" ref="K18:Z19" si="6">K23/K$25</f>
        <v>0.29644362454654938</v>
      </c>
      <c r="L18" s="129">
        <f t="shared" si="6"/>
        <v>0.2998989036872699</v>
      </c>
      <c r="M18" s="129">
        <f t="shared" si="6"/>
        <v>0.30319595185227072</v>
      </c>
      <c r="N18" s="129">
        <f t="shared" si="6"/>
        <v>0.30522800836475233</v>
      </c>
      <c r="O18" s="129">
        <f t="shared" si="6"/>
        <v>0.30605482173653448</v>
      </c>
      <c r="P18" s="129">
        <f t="shared" si="6"/>
        <v>0.30932373575545163</v>
      </c>
      <c r="Q18" s="129">
        <f t="shared" si="6"/>
        <v>0.31228368417755736</v>
      </c>
      <c r="R18" s="129">
        <f t="shared" si="6"/>
        <v>0.32375163521226069</v>
      </c>
      <c r="S18" s="129">
        <f t="shared" si="6"/>
        <v>0.30681637697278535</v>
      </c>
      <c r="T18" s="129">
        <f t="shared" si="6"/>
        <v>0.30899051207902728</v>
      </c>
      <c r="U18" s="129">
        <f t="shared" si="6"/>
        <v>0.31073061540438202</v>
      </c>
      <c r="V18" s="129">
        <f t="shared" si="6"/>
        <v>0.31288111144304853</v>
      </c>
      <c r="W18" s="129">
        <f t="shared" si="6"/>
        <v>0.31491255593475925</v>
      </c>
      <c r="X18" s="129">
        <f t="shared" si="6"/>
        <v>0.31628939074725432</v>
      </c>
      <c r="Y18" s="129">
        <f t="shared" si="6"/>
        <v>0.31847593645969752</v>
      </c>
      <c r="Z18" s="129">
        <f t="shared" si="6"/>
        <v>0.32044792827503243</v>
      </c>
      <c r="AA18" s="129">
        <f t="shared" si="3"/>
        <v>0.32217124766279387</v>
      </c>
      <c r="AB18" s="129">
        <f t="shared" si="3"/>
        <v>0.32472047549482769</v>
      </c>
      <c r="AC18" s="129">
        <f t="shared" si="3"/>
        <v>0.32634303861147274</v>
      </c>
      <c r="AD18" s="129">
        <f t="shared" si="3"/>
        <v>0.32889986401097365</v>
      </c>
      <c r="AE18" s="129">
        <f t="shared" si="3"/>
        <v>0.33081335717795152</v>
      </c>
      <c r="AF18" s="129">
        <f t="shared" si="3"/>
        <v>0.33290577410474198</v>
      </c>
      <c r="AG18" s="129">
        <f t="shared" si="3"/>
        <v>0.3350106446536113</v>
      </c>
      <c r="AH18" s="129">
        <f t="shared" si="3"/>
        <v>0.33736398356282593</v>
      </c>
      <c r="AI18" s="129">
        <f t="shared" si="3"/>
        <v>0.33948242167787424</v>
      </c>
      <c r="AJ18" s="129">
        <f t="shared" si="3"/>
        <v>0.34168685597597181</v>
      </c>
      <c r="AK18" s="129">
        <f t="shared" si="3"/>
        <v>0.34372210155141747</v>
      </c>
      <c r="AL18" s="129">
        <f t="shared" si="3"/>
        <v>0.34569570470434441</v>
      </c>
      <c r="AM18" s="129">
        <f t="shared" si="3"/>
        <v>0.35353162196051169</v>
      </c>
      <c r="AN18" s="129">
        <f t="shared" si="3"/>
        <v>0.36180135191051532</v>
      </c>
      <c r="AO18" s="129">
        <f t="shared" si="3"/>
        <v>0.36180135191051532</v>
      </c>
      <c r="AP18" s="129">
        <f t="shared" si="3"/>
        <v>0.36180135191051532</v>
      </c>
      <c r="AQ18" s="129"/>
      <c r="AR18" s="129"/>
      <c r="AS18" s="129"/>
      <c r="AT18" s="129"/>
      <c r="AU18" s="129"/>
      <c r="AV18" s="129"/>
    </row>
    <row r="19" spans="1:48">
      <c r="A19" s="4" t="s">
        <v>16</v>
      </c>
      <c r="C19" s="4" t="s">
        <v>50</v>
      </c>
      <c r="D19" s="4" t="s">
        <v>48</v>
      </c>
      <c r="E19" s="225">
        <f t="shared" si="4"/>
        <v>0.19994880218444014</v>
      </c>
      <c r="F19" s="225">
        <f t="shared" si="5"/>
        <v>0.20226066859632597</v>
      </c>
      <c r="K19" s="129">
        <f t="shared" si="6"/>
        <v>0.2068130160188448</v>
      </c>
      <c r="L19" s="129">
        <f t="shared" si="3"/>
        <v>0.21187240941818569</v>
      </c>
      <c r="M19" s="129">
        <f t="shared" si="3"/>
        <v>0.21532904186887569</v>
      </c>
      <c r="N19" s="129">
        <f t="shared" si="3"/>
        <v>0.21739542684991425</v>
      </c>
      <c r="O19" s="129">
        <f t="shared" si="3"/>
        <v>0.22370723267434653</v>
      </c>
      <c r="P19" s="129">
        <f t="shared" si="3"/>
        <v>0.22714232188243744</v>
      </c>
      <c r="Q19" s="129">
        <f t="shared" si="3"/>
        <v>0.22662862386045105</v>
      </c>
      <c r="R19" s="129">
        <f t="shared" si="3"/>
        <v>0.20226066859632597</v>
      </c>
      <c r="S19" s="129">
        <f t="shared" si="3"/>
        <v>0.20516067409399871</v>
      </c>
      <c r="T19" s="129">
        <f t="shared" si="3"/>
        <v>0.20940204267133489</v>
      </c>
      <c r="U19" s="129">
        <f t="shared" si="3"/>
        <v>0.2139720665787759</v>
      </c>
      <c r="V19" s="129">
        <f t="shared" si="3"/>
        <v>0.21816532803404287</v>
      </c>
      <c r="W19" s="129">
        <f t="shared" si="3"/>
        <v>0.22202625967132111</v>
      </c>
      <c r="X19" s="129">
        <f t="shared" si="3"/>
        <v>0.22820376869894543</v>
      </c>
      <c r="Y19" s="129">
        <f t="shared" si="3"/>
        <v>0.23412465376856106</v>
      </c>
      <c r="Z19" s="129">
        <f t="shared" si="3"/>
        <v>0.24024245669567973</v>
      </c>
      <c r="AA19" s="129">
        <f t="shared" si="3"/>
        <v>0.24730232184292703</v>
      </c>
      <c r="AB19" s="129">
        <f t="shared" si="3"/>
        <v>0.2531110960622453</v>
      </c>
      <c r="AC19" s="129">
        <f t="shared" si="3"/>
        <v>0.26010736073720786</v>
      </c>
      <c r="AD19" s="129">
        <f t="shared" si="3"/>
        <v>0.26588292156296223</v>
      </c>
      <c r="AE19" s="129">
        <f t="shared" si="3"/>
        <v>0.27234789891765165</v>
      </c>
      <c r="AF19" s="129">
        <f t="shared" si="3"/>
        <v>0.2791965527187083</v>
      </c>
      <c r="AG19" s="129">
        <f t="shared" si="3"/>
        <v>0.28637981779266364</v>
      </c>
      <c r="AH19" s="129">
        <f t="shared" si="3"/>
        <v>0.29318203447734137</v>
      </c>
      <c r="AI19" s="129">
        <f t="shared" si="3"/>
        <v>0.29983113440277731</v>
      </c>
      <c r="AJ19" s="129">
        <f t="shared" si="3"/>
        <v>0.30603493097722489</v>
      </c>
      <c r="AK19" s="129">
        <f t="shared" si="3"/>
        <v>0.31212539705983949</v>
      </c>
      <c r="AL19" s="129">
        <f t="shared" si="3"/>
        <v>0.31824694973625656</v>
      </c>
      <c r="AM19" s="129">
        <f t="shared" si="3"/>
        <v>0.35051186865463507</v>
      </c>
      <c r="AN19" s="129">
        <f t="shared" si="3"/>
        <v>0.3787460715884326</v>
      </c>
      <c r="AO19" s="129">
        <f t="shared" si="3"/>
        <v>0.3787460715884326</v>
      </c>
      <c r="AP19" s="129">
        <f t="shared" si="3"/>
        <v>0.3787460715884326</v>
      </c>
      <c r="AQ19" s="129"/>
      <c r="AR19" s="129"/>
      <c r="AS19" s="129"/>
      <c r="AT19" s="129"/>
      <c r="AU19" s="129"/>
      <c r="AV19" s="129"/>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6">
        <v>1</v>
      </c>
      <c r="C22" s="4" t="s">
        <v>7</v>
      </c>
      <c r="D22" s="4" t="s">
        <v>47</v>
      </c>
      <c r="E22" s="10">
        <f>SUMIF($J$3:$AV$3,E$21,$J22:$AV22)</f>
        <v>26.517696951596729</v>
      </c>
      <c r="F22" s="10">
        <f>SUMIF($J$3:$AV$3,F$21,$J22:$AV22)</f>
        <v>27.09455867738976</v>
      </c>
      <c r="G22" s="10">
        <f>SUMIF($J$3:$AV$3,G$21,$J22:$AV22)</f>
        <v>26.514710316786477</v>
      </c>
      <c r="H22" s="10">
        <f>SUMIF($J$3:$AV$3,H$21,$J22:$AV22)</f>
        <v>23.049501217228059</v>
      </c>
      <c r="I22" s="24">
        <f>SUMIF($J$3:$AV$3,I$21,$J22:$AV22)</f>
        <v>19.509795942573113</v>
      </c>
      <c r="J22" s="68">
        <f>INDEX(Drivers!$C$31:$AG$33,$B22,J$21)</f>
        <v>26.517696951596729</v>
      </c>
      <c r="K22" s="68">
        <f>INDEX(Drivers!$C$31:$AG$33,$B22,K$21)</f>
        <v>26.582724136783497</v>
      </c>
      <c r="L22" s="68">
        <f>INDEX(Drivers!$C$31:$AG$33,$B22,L$21)</f>
        <v>26.3643490923054</v>
      </c>
      <c r="M22" s="68">
        <f>INDEX(Drivers!$C$31:$AG$33,$B22,M$21)</f>
        <v>26.235573092134736</v>
      </c>
      <c r="N22" s="68">
        <f>INDEX(Drivers!$C$31:$AG$33,$B22,N$21)</f>
        <v>26.267645477312975</v>
      </c>
      <c r="O22" s="68">
        <f>INDEX(Drivers!$C$31:$AG$33,$B22,O$21)</f>
        <v>26.125950018985858</v>
      </c>
      <c r="P22" s="68">
        <f>INDEX(Drivers!$C$31:$AG$33,$B22,P$21)</f>
        <v>26.001472962860248</v>
      </c>
      <c r="Q22" s="68">
        <f>INDEX(Drivers!$C$31:$AG$33,$B22,Q$21)</f>
        <v>26.11047382042366</v>
      </c>
      <c r="R22" s="68">
        <f>INDEX(Drivers!$C$31:$AG$33,$B22,R$21)</f>
        <v>27.09455867738976</v>
      </c>
      <c r="S22" s="68">
        <f>INDEX(Drivers!$C$31:$AG$33,$B22,S$21)</f>
        <v>28.161364268191221</v>
      </c>
      <c r="T22" s="68">
        <f>INDEX(Drivers!$C$31:$AG$33,$B22,T$21)</f>
        <v>28.051707256010406</v>
      </c>
      <c r="U22" s="68">
        <f>INDEX(Drivers!$C$31:$AG$33,$B22,U$21)</f>
        <v>27.941778731574107</v>
      </c>
      <c r="V22" s="68">
        <f>INDEX(Drivers!$C$31:$AG$33,$B22,V$21)</f>
        <v>27.823014745824167</v>
      </c>
      <c r="W22" s="68">
        <f>INDEX(Drivers!$C$31:$AG$33,$B22,W$21)</f>
        <v>27.724399232032759</v>
      </c>
      <c r="X22" s="68">
        <f>INDEX(Drivers!$C$31:$AG$33,$B22,X$21)</f>
        <v>27.539488073042207</v>
      </c>
      <c r="Y22" s="68">
        <f>INDEX(Drivers!$C$31:$AG$33,$B22,Y$21)</f>
        <v>27.311496969515957</v>
      </c>
      <c r="Z22" s="68">
        <f>INDEX(Drivers!$C$31:$AG$33,$B22,Z$21)</f>
        <v>27.075530193485069</v>
      </c>
      <c r="AA22" s="68">
        <f>INDEX(Drivers!$C$31:$AG$33,$B22,AA$21)</f>
        <v>26.786923978923557</v>
      </c>
      <c r="AB22" s="68">
        <f>INDEX(Drivers!$C$31:$AG$33,$B22,AB$21)</f>
        <v>26.514710316786477</v>
      </c>
      <c r="AC22" s="68">
        <f>INDEX(Drivers!$C$31:$AG$33,$B22,AC$21)</f>
        <v>26.207878842076063</v>
      </c>
      <c r="AD22" s="68">
        <f>INDEX(Drivers!$C$31:$AG$33,$B22,AD$21)</f>
        <v>25.909588690402536</v>
      </c>
      <c r="AE22" s="68">
        <f>INDEX(Drivers!$C$31:$AG$33,$B22,AE$21)</f>
        <v>25.598876853040931</v>
      </c>
      <c r="AF22" s="68">
        <f>INDEX(Drivers!$C$31:$AG$33,$B22,AF$21)</f>
        <v>25.242053184290796</v>
      </c>
      <c r="AG22" s="68">
        <f>INDEX(Drivers!$C$31:$AG$33,$B22,AG$21)</f>
        <v>24.852308654564069</v>
      </c>
      <c r="AH22" s="68">
        <f>INDEX(Drivers!$C$31:$AG$33,$B22,AH$21)</f>
        <v>24.469306679181678</v>
      </c>
      <c r="AI22" s="68">
        <f>INDEX(Drivers!$C$31:$AG$33,$B22,AI$21)</f>
        <v>24.101068182690859</v>
      </c>
      <c r="AJ22" s="68">
        <f>INDEX(Drivers!$C$31:$AG$33,$B22,AJ$21)</f>
        <v>23.746722063271964</v>
      </c>
      <c r="AK22" s="68">
        <f>INDEX(Drivers!$C$31:$AG$33,$B22,AK$21)</f>
        <v>23.402025941933136</v>
      </c>
      <c r="AL22" s="68">
        <f>INDEX(Drivers!$C$31:$AG$33,$B22,AL$21)</f>
        <v>23.049501217228059</v>
      </c>
      <c r="AM22" s="68">
        <f>INDEX(Drivers!$C$31:$AG$33,$B22,AM$21)</f>
        <v>21.294366806749572</v>
      </c>
      <c r="AN22" s="68">
        <f>INDEX(Drivers!$C$31:$AG$33,$B22,AN$21)</f>
        <v>19.509795942573113</v>
      </c>
      <c r="AO22" s="68">
        <f t="shared" ref="AO22:AP24" si="7">AN22</f>
        <v>19.509795942573113</v>
      </c>
      <c r="AP22" s="68">
        <f t="shared" si="7"/>
        <v>19.509795942573113</v>
      </c>
      <c r="AQ22" s="68"/>
      <c r="AR22" s="68"/>
      <c r="AS22" s="68"/>
      <c r="AT22" s="68"/>
      <c r="AU22" s="68"/>
      <c r="AV22" s="68"/>
    </row>
    <row r="23" spans="1:48">
      <c r="A23" s="4" t="s">
        <v>16</v>
      </c>
      <c r="B23" s="56">
        <v>2</v>
      </c>
      <c r="C23" s="4" t="s">
        <v>8</v>
      </c>
      <c r="D23" s="4" t="s">
        <v>47</v>
      </c>
      <c r="E23" s="10">
        <f>SUMIF($J$3:$AV$3,E$21,$J23:$AV23)</f>
        <v>15.910618170958038</v>
      </c>
      <c r="F23" s="10">
        <f t="shared" ref="F23:I24" si="8">SUMIF($J$3:$AV$3,F$21,$J23:$AV23)</f>
        <v>18.506614723638457</v>
      </c>
      <c r="G23" s="10">
        <f t="shared" si="8"/>
        <v>20.394394183928146</v>
      </c>
      <c r="H23" s="10">
        <f t="shared" si="8"/>
        <v>23.710576994261572</v>
      </c>
      <c r="I23" s="24">
        <f t="shared" si="8"/>
        <v>27.206014458263109</v>
      </c>
      <c r="J23" s="68">
        <f>INDEX(Drivers!$C$31:$AG$33,$B23,J$21)</f>
        <v>15.910618170958038</v>
      </c>
      <c r="K23" s="68">
        <f>INDEX(Drivers!$C$31:$AG$33,$B23,K$21)</f>
        <v>15.863884123984045</v>
      </c>
      <c r="L23" s="68">
        <f>INDEX(Drivers!$C$31:$AG$33,$B23,L$21)</f>
        <v>16.194540799112573</v>
      </c>
      <c r="M23" s="68">
        <f>INDEX(Drivers!$C$31:$AG$33,$B23,M$21)</f>
        <v>16.521147416430232</v>
      </c>
      <c r="N23" s="68">
        <f>INDEX(Drivers!$C$31:$AG$33,$B23,N$21)</f>
        <v>16.795171160270495</v>
      </c>
      <c r="O23" s="68">
        <f>INDEX(Drivers!$C$31:$AG$33,$B23,O$21)</f>
        <v>17.004099840860121</v>
      </c>
      <c r="P23" s="68">
        <f>INDEX(Drivers!$C$31:$AG$33,$B23,P$21)</f>
        <v>17.351205633466304</v>
      </c>
      <c r="Q23" s="68">
        <f>INDEX(Drivers!$C$31:$AG$33,$B23,Q$21)</f>
        <v>17.684000467606715</v>
      </c>
      <c r="R23" s="68">
        <f>INDEX(Drivers!$C$31:$AG$33,$B23,R$21)</f>
        <v>18.506614723638457</v>
      </c>
      <c r="S23" s="68">
        <f>INDEX(Drivers!$C$31:$AG$33,$B23,S$21)</f>
        <v>17.704839033214579</v>
      </c>
      <c r="T23" s="68">
        <f>INDEX(Drivers!$C$31:$AG$33,$B23,T$21)</f>
        <v>17.997461366555022</v>
      </c>
      <c r="U23" s="68">
        <f>INDEX(Drivers!$C$31:$AG$33,$B23,U$21)</f>
        <v>18.267231418392807</v>
      </c>
      <c r="V23" s="68">
        <f>INDEX(Drivers!$C$31:$AG$33,$B23,V$21)</f>
        <v>18.56323634191607</v>
      </c>
      <c r="W23" s="68">
        <f>INDEX(Drivers!$C$31:$AG$33,$B23,W$21)</f>
        <v>18.854444548925905</v>
      </c>
      <c r="X23" s="68">
        <f>INDEX(Drivers!$C$31:$AG$33,$B23,X$21)</f>
        <v>19.12254027518825</v>
      </c>
      <c r="Y23" s="68">
        <f>INDEX(Drivers!$C$31:$AG$33,$B23,Y$21)</f>
        <v>19.441363541182234</v>
      </c>
      <c r="Z23" s="68">
        <f>INDEX(Drivers!$C$31:$AG$33,$B23,Z$21)</f>
        <v>19.749846715446797</v>
      </c>
      <c r="AA23" s="68">
        <f>INDEX(Drivers!$C$31:$AG$33,$B23,AA$21)</f>
        <v>20.04517285833137</v>
      </c>
      <c r="AB23" s="68">
        <f>INDEX(Drivers!$C$31:$AG$33,$B23,AB$21)</f>
        <v>20.394394183928146</v>
      </c>
      <c r="AC23" s="68">
        <f>INDEX(Drivers!$C$31:$AG$33,$B23,AC$21)</f>
        <v>20.681337385924859</v>
      </c>
      <c r="AD23" s="68">
        <f>INDEX(Drivers!$C$31:$AG$33,$B23,AD$21)</f>
        <v>21.029857304861654</v>
      </c>
      <c r="AE23" s="68">
        <f>INDEX(Drivers!$C$31:$AG$33,$B23,AE$21)</f>
        <v>21.33977723147812</v>
      </c>
      <c r="AF23" s="68">
        <f>INDEX(Drivers!$C$31:$AG$33,$B23,AF$21)</f>
        <v>21.663510344091979</v>
      </c>
      <c r="AG23" s="68">
        <f>INDEX(Drivers!$C$31:$AG$33,$B23,AG$21)</f>
        <v>21.9904337257077</v>
      </c>
      <c r="AH23" s="68">
        <f>INDEX(Drivers!$C$31:$AG$33,$B23,AH$21)</f>
        <v>22.343953995349523</v>
      </c>
      <c r="AI23" s="68">
        <f>INDEX(Drivers!$C$31:$AG$33,$B23,AI$21)</f>
        <v>22.684215416515553</v>
      </c>
      <c r="AJ23" s="68">
        <f>INDEX(Drivers!$C$31:$AG$33,$B23,AJ$21)</f>
        <v>23.032769274484288</v>
      </c>
      <c r="AK23" s="68">
        <f>INDEX(Drivers!$C$31:$AG$33,$B23,AK$21)</f>
        <v>23.372759183394834</v>
      </c>
      <c r="AL23" s="68">
        <f>INDEX(Drivers!$C$31:$AG$33,$B23,AL$21)</f>
        <v>23.710576994261572</v>
      </c>
      <c r="AM23" s="68">
        <f>INDEX(Drivers!$C$31:$AG$33,$B23,AM$21)</f>
        <v>25.436953731680774</v>
      </c>
      <c r="AN23" s="68">
        <f>INDEX(Drivers!$C$31:$AG$33,$B23,AN$21)</f>
        <v>27.206014458263109</v>
      </c>
      <c r="AO23" s="68">
        <f t="shared" si="7"/>
        <v>27.206014458263109</v>
      </c>
      <c r="AP23" s="68">
        <f t="shared" si="7"/>
        <v>27.206014458263109</v>
      </c>
      <c r="AQ23" s="68"/>
      <c r="AR23" s="68"/>
      <c r="AS23" s="68"/>
      <c r="AT23" s="68"/>
      <c r="AU23" s="68"/>
      <c r="AV23" s="68"/>
    </row>
    <row r="24" spans="1:48">
      <c r="A24" s="4" t="s">
        <v>16</v>
      </c>
      <c r="B24" s="56">
        <v>3</v>
      </c>
      <c r="C24" s="4" t="s">
        <v>409</v>
      </c>
      <c r="D24" s="4" t="s">
        <v>47</v>
      </c>
      <c r="E24" s="10">
        <f>SUMIF($J$3:$AV$3,E$21,$J24:$AV24)</f>
        <v>10.603684877445227</v>
      </c>
      <c r="F24" s="10">
        <f t="shared" si="8"/>
        <v>11.561826598971781</v>
      </c>
      <c r="G24" s="10">
        <f t="shared" si="8"/>
        <v>15.896895499285378</v>
      </c>
      <c r="H24" s="10">
        <f t="shared" si="8"/>
        <v>21.827921788510363</v>
      </c>
      <c r="I24" s="24">
        <f t="shared" si="8"/>
        <v>28.480189599163776</v>
      </c>
      <c r="J24" s="68">
        <f>INDEX(Drivers!$C$31:$AG$33,$B24,J$21)</f>
        <v>10.603684877445227</v>
      </c>
      <c r="K24" s="68">
        <f>INDEX(Drivers!$C$31:$AG$33,$B24,K$21)</f>
        <v>11.067391739232461</v>
      </c>
      <c r="L24" s="68">
        <f>INDEX(Drivers!$C$31:$AG$33,$B24,L$21)</f>
        <v>11.441110108582027</v>
      </c>
      <c r="M24" s="68">
        <f>INDEX(Drivers!$C$31:$AG$33,$B24,M$21)</f>
        <v>11.733279491435036</v>
      </c>
      <c r="N24" s="68">
        <f>INDEX(Drivers!$C$31:$AG$33,$B24,N$21)</f>
        <v>11.962183362416532</v>
      </c>
      <c r="O24" s="68">
        <f>INDEX(Drivers!$C$31:$AG$33,$B24,O$21)</f>
        <v>12.42895014015402</v>
      </c>
      <c r="P24" s="68">
        <f>INDEX(Drivers!$C$31:$AG$33,$B24,P$21)</f>
        <v>12.741321403673446</v>
      </c>
      <c r="Q24" s="68">
        <f>INDEX(Drivers!$C$31:$AG$33,$B24,Q$21)</f>
        <v>12.833525711969621</v>
      </c>
      <c r="R24" s="68">
        <f>INDEX(Drivers!$C$31:$AG$33,$B24,R$21)</f>
        <v>11.561826598971781</v>
      </c>
      <c r="S24" s="68">
        <f>INDEX(Drivers!$C$31:$AG$33,$B24,S$21)</f>
        <v>11.838796698594196</v>
      </c>
      <c r="T24" s="68">
        <f>INDEX(Drivers!$C$31:$AG$33,$B24,T$21)</f>
        <v>12.196831377434572</v>
      </c>
      <c r="U24" s="68">
        <f>INDEX(Drivers!$C$31:$AG$33,$B24,U$21)</f>
        <v>12.578989850033075</v>
      </c>
      <c r="V24" s="68">
        <f>INDEX(Drivers!$C$31:$AG$33,$B24,V$21)</f>
        <v>12.943748912259764</v>
      </c>
      <c r="W24" s="68">
        <f>INDEX(Drivers!$C$31:$AG$33,$B24,W$21)</f>
        <v>13.293156219041338</v>
      </c>
      <c r="X24" s="68">
        <f>INDEX(Drivers!$C$31:$AG$33,$B24,X$21)</f>
        <v>13.796971651769542</v>
      </c>
      <c r="Y24" s="68">
        <f>INDEX(Drivers!$C$31:$AG$33,$B24,Y$21)</f>
        <v>14.29213948930181</v>
      </c>
      <c r="Z24" s="68">
        <f>INDEX(Drivers!$C$31:$AG$33,$B24,Z$21)</f>
        <v>14.806623091068133</v>
      </c>
      <c r="AA24" s="68">
        <f>INDEX(Drivers!$C$31:$AG$33,$B24,AA$21)</f>
        <v>15.386903162745075</v>
      </c>
      <c r="AB24" s="68">
        <f>INDEX(Drivers!$C$31:$AG$33,$B24,AB$21)</f>
        <v>15.896895499285378</v>
      </c>
      <c r="AC24" s="68">
        <f>INDEX(Drivers!$C$31:$AG$33,$B24,AC$21)</f>
        <v>16.483783771999072</v>
      </c>
      <c r="AD24" s="68">
        <f>INDEX(Drivers!$C$31:$AG$33,$B24,AD$21)</f>
        <v>17.000554004735804</v>
      </c>
      <c r="AE24" s="68">
        <f>INDEX(Drivers!$C$31:$AG$33,$B24,AE$21)</f>
        <v>17.568345915480958</v>
      </c>
      <c r="AF24" s="68">
        <f>INDEX(Drivers!$C$31:$AG$33,$B24,AF$21)</f>
        <v>18.168436471617223</v>
      </c>
      <c r="AG24" s="68">
        <f>INDEX(Drivers!$C$31:$AG$33,$B24,AG$21)</f>
        <v>18.798257619728236</v>
      </c>
      <c r="AH24" s="68">
        <f>INDEX(Drivers!$C$31:$AG$33,$B24,AH$21)</f>
        <v>19.417739325468794</v>
      </c>
      <c r="AI24" s="68">
        <f>INDEX(Drivers!$C$31:$AG$33,$B24,AI$21)</f>
        <v>20.034716400793577</v>
      </c>
      <c r="AJ24" s="68">
        <f>INDEX(Drivers!$C$31:$AG$33,$B24,AJ$21)</f>
        <v>20.629508662243754</v>
      </c>
      <c r="AK24" s="68">
        <f>INDEX(Drivers!$C$31:$AG$33,$B24,AK$21)</f>
        <v>21.224214874672025</v>
      </c>
      <c r="AL24" s="68">
        <f>INDEX(Drivers!$C$31:$AG$33,$B24,AL$21)</f>
        <v>21.827921788510363</v>
      </c>
      <c r="AM24" s="68">
        <f>INDEX(Drivers!$C$31:$AG$33,$B24,AM$21)</f>
        <v>25.219679461569648</v>
      </c>
      <c r="AN24" s="68">
        <f>INDEX(Drivers!$C$31:$AG$33,$B24,AN$21)</f>
        <v>28.480189599163776</v>
      </c>
      <c r="AO24" s="68">
        <f t="shared" si="7"/>
        <v>28.480189599163776</v>
      </c>
      <c r="AP24" s="68">
        <f t="shared" si="7"/>
        <v>28.480189599163776</v>
      </c>
      <c r="AQ24" s="68"/>
      <c r="AR24" s="68"/>
      <c r="AS24" s="68"/>
      <c r="AT24" s="68"/>
      <c r="AU24" s="68"/>
      <c r="AV24" s="68"/>
    </row>
    <row r="25" spans="1:48">
      <c r="A25" s="4" t="s">
        <v>16</v>
      </c>
      <c r="E25" s="49">
        <f t="shared" ref="E25:K25" si="9">SUM(E22:E24)</f>
        <v>53.031999999999989</v>
      </c>
      <c r="F25" s="49">
        <f t="shared" si="9"/>
        <v>57.162999999999997</v>
      </c>
      <c r="G25" s="49">
        <f t="shared" si="9"/>
        <v>62.805999999999997</v>
      </c>
      <c r="H25" s="49">
        <f t="shared" si="9"/>
        <v>68.587999999999994</v>
      </c>
      <c r="I25" s="49">
        <f t="shared" si="9"/>
        <v>75.195999999999998</v>
      </c>
      <c r="J25" s="133">
        <f t="shared" si="9"/>
        <v>53.031999999999989</v>
      </c>
      <c r="K25" s="133">
        <f t="shared" si="9"/>
        <v>53.514000000000003</v>
      </c>
      <c r="L25" s="133">
        <f t="shared" ref="L25:AP25" si="10">SUM(L22:L24)</f>
        <v>54</v>
      </c>
      <c r="M25" s="133">
        <f t="shared" si="10"/>
        <v>54.49</v>
      </c>
      <c r="N25" s="133">
        <f t="shared" si="10"/>
        <v>55.024999999999999</v>
      </c>
      <c r="O25" s="133">
        <f t="shared" si="10"/>
        <v>55.559000000000005</v>
      </c>
      <c r="P25" s="133">
        <f t="shared" si="10"/>
        <v>56.094000000000001</v>
      </c>
      <c r="Q25" s="133">
        <f t="shared" si="10"/>
        <v>56.627999999999993</v>
      </c>
      <c r="R25" s="133">
        <f t="shared" si="10"/>
        <v>57.162999999999997</v>
      </c>
      <c r="S25" s="133">
        <f t="shared" si="10"/>
        <v>57.704999999999998</v>
      </c>
      <c r="T25" s="133">
        <f t="shared" si="10"/>
        <v>58.246000000000002</v>
      </c>
      <c r="U25" s="133">
        <f t="shared" si="10"/>
        <v>58.78799999999999</v>
      </c>
      <c r="V25" s="133">
        <f t="shared" si="10"/>
        <v>59.33</v>
      </c>
      <c r="W25" s="133">
        <f t="shared" si="10"/>
        <v>59.872</v>
      </c>
      <c r="X25" s="133">
        <f t="shared" si="10"/>
        <v>60.459000000000003</v>
      </c>
      <c r="Y25" s="133">
        <f t="shared" si="10"/>
        <v>61.045000000000002</v>
      </c>
      <c r="Z25" s="133">
        <f t="shared" si="10"/>
        <v>61.631999999999998</v>
      </c>
      <c r="AA25" s="133">
        <f t="shared" si="10"/>
        <v>62.218999999999994</v>
      </c>
      <c r="AB25" s="133">
        <f t="shared" si="10"/>
        <v>62.805999999999997</v>
      </c>
      <c r="AC25" s="133">
        <f t="shared" si="10"/>
        <v>63.37299999999999</v>
      </c>
      <c r="AD25" s="133">
        <f t="shared" si="10"/>
        <v>63.94</v>
      </c>
      <c r="AE25" s="133">
        <f t="shared" si="10"/>
        <v>64.507000000000005</v>
      </c>
      <c r="AF25" s="133">
        <f t="shared" si="10"/>
        <v>65.073999999999998</v>
      </c>
      <c r="AG25" s="133">
        <f t="shared" si="10"/>
        <v>65.641000000000005</v>
      </c>
      <c r="AH25" s="133">
        <f t="shared" si="10"/>
        <v>66.230999999999995</v>
      </c>
      <c r="AI25" s="133">
        <f t="shared" si="10"/>
        <v>66.819999999999993</v>
      </c>
      <c r="AJ25" s="133">
        <f t="shared" si="10"/>
        <v>67.409000000000006</v>
      </c>
      <c r="AK25" s="133">
        <f t="shared" si="10"/>
        <v>67.998999999999995</v>
      </c>
      <c r="AL25" s="133">
        <f t="shared" si="10"/>
        <v>68.587999999999994</v>
      </c>
      <c r="AM25" s="133">
        <f t="shared" si="10"/>
        <v>71.950999999999993</v>
      </c>
      <c r="AN25" s="133">
        <f t="shared" si="10"/>
        <v>75.195999999999998</v>
      </c>
      <c r="AO25" s="133">
        <f t="shared" si="10"/>
        <v>75.195999999999998</v>
      </c>
      <c r="AP25" s="133">
        <f t="shared" si="10"/>
        <v>75.195999999999998</v>
      </c>
      <c r="AQ25" s="133"/>
      <c r="AR25" s="133"/>
      <c r="AS25" s="133"/>
      <c r="AT25" s="133"/>
      <c r="AU25" s="133"/>
      <c r="AV25" s="133"/>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34">
        <v>0.95</v>
      </c>
      <c r="J29" s="4">
        <f>IF(J$7=-1,K29,IF(J$7=99,I29,IF(J$7=0,INDEX($E29:$I29,0,J$5),(INDEX($E29:$I29,0,J$7+1)-INDEX($E29:$I29,0,J$7))/(INDEX($E$4:$I$4,0,J$7+1)-INDEX($E$4:$I$4,0,J$7))+I29)))</f>
        <v>0.71</v>
      </c>
      <c r="K29" s="4">
        <f t="shared" ref="K29:AP30" si="11">IF(K$7=-1,L29,IF(K$7=99,J29,IF(K$7=0,INDEX($E29:$I29,0,K$5),(INDEX($E29:$I29,0,K$7+1)-INDEX($E29:$I29,0,K$7))/(INDEX($E$4:$I$4,0,K$7+1)-INDEX($E$4:$I$4,0,K$7))+J29)))</f>
        <v>0.72124999999999995</v>
      </c>
      <c r="L29" s="4">
        <f t="shared" si="11"/>
        <v>0.73249999999999993</v>
      </c>
      <c r="M29" s="4">
        <f t="shared" si="11"/>
        <v>0.74374999999999991</v>
      </c>
      <c r="N29" s="4">
        <f t="shared" si="11"/>
        <v>0.75499999999999989</v>
      </c>
      <c r="O29" s="4">
        <f t="shared" si="11"/>
        <v>0.76624999999999988</v>
      </c>
      <c r="P29" s="4">
        <f t="shared" si="11"/>
        <v>0.77749999999999986</v>
      </c>
      <c r="Q29" s="4">
        <f t="shared" si="11"/>
        <v>0.78874999999999984</v>
      </c>
      <c r="R29" s="4">
        <f t="shared" si="11"/>
        <v>0.8</v>
      </c>
      <c r="S29" s="4">
        <f t="shared" si="11"/>
        <v>0.80500000000000005</v>
      </c>
      <c r="T29" s="4">
        <f t="shared" si="11"/>
        <v>0.81</v>
      </c>
      <c r="U29" s="4">
        <f t="shared" si="11"/>
        <v>0.81500000000000006</v>
      </c>
      <c r="V29" s="4">
        <f t="shared" si="11"/>
        <v>0.82000000000000006</v>
      </c>
      <c r="W29" s="4">
        <f t="shared" si="11"/>
        <v>0.82500000000000007</v>
      </c>
      <c r="X29" s="4">
        <f t="shared" si="11"/>
        <v>0.83000000000000007</v>
      </c>
      <c r="Y29" s="4">
        <f t="shared" si="11"/>
        <v>0.83500000000000008</v>
      </c>
      <c r="Z29" s="4">
        <f t="shared" si="11"/>
        <v>0.84000000000000008</v>
      </c>
      <c r="AA29" s="4">
        <f t="shared" si="11"/>
        <v>0.84500000000000008</v>
      </c>
      <c r="AB29" s="4">
        <f t="shared" si="11"/>
        <v>0.85</v>
      </c>
      <c r="AC29" s="4">
        <f t="shared" si="11"/>
        <v>0.85499999999999998</v>
      </c>
      <c r="AD29" s="4">
        <f t="shared" si="11"/>
        <v>0.86</v>
      </c>
      <c r="AE29" s="4">
        <f t="shared" si="11"/>
        <v>0.86499999999999999</v>
      </c>
      <c r="AF29" s="4">
        <f t="shared" si="11"/>
        <v>0.87</v>
      </c>
      <c r="AG29" s="4">
        <f t="shared" si="11"/>
        <v>0.875</v>
      </c>
      <c r="AH29" s="4">
        <f t="shared" si="11"/>
        <v>0.88</v>
      </c>
      <c r="AI29" s="4">
        <f t="shared" si="11"/>
        <v>0.88500000000000001</v>
      </c>
      <c r="AJ29" s="4">
        <f t="shared" si="11"/>
        <v>0.89</v>
      </c>
      <c r="AK29" s="4">
        <f t="shared" si="11"/>
        <v>0.89500000000000002</v>
      </c>
      <c r="AL29" s="4">
        <f t="shared" si="11"/>
        <v>0.9</v>
      </c>
      <c r="AM29" s="255">
        <f>(AL29+AN29)/2</f>
        <v>0.92500000000000004</v>
      </c>
      <c r="AN29" s="4">
        <f t="shared" si="11"/>
        <v>0.95</v>
      </c>
      <c r="AO29" s="4">
        <f t="shared" si="11"/>
        <v>0.95</v>
      </c>
      <c r="AP29" s="4">
        <f t="shared" si="11"/>
        <v>0.95</v>
      </c>
    </row>
    <row r="30" spans="1:48">
      <c r="A30" s="4" t="s">
        <v>16</v>
      </c>
      <c r="C30" s="4" t="s">
        <v>8</v>
      </c>
      <c r="D30" s="4" t="s">
        <v>48</v>
      </c>
      <c r="E30" s="89">
        <v>0.83</v>
      </c>
      <c r="F30" s="35">
        <v>0.9</v>
      </c>
      <c r="G30" s="35">
        <v>0.95</v>
      </c>
      <c r="H30" s="35">
        <v>0.95</v>
      </c>
      <c r="I30" s="134">
        <v>1</v>
      </c>
      <c r="J30" s="4">
        <f>IF(J$7=-1,K30,IF(J$7=99,I30,IF(J$7=0,INDEX($E30:$I30,0,J$5),(INDEX($E30:$I30,0,J$7+1)-INDEX($E30:$I30,0,J$7))/(INDEX($E$4:$I$4,0,J$7+1)-INDEX($E$4:$I$4,0,J$7))+I30)))</f>
        <v>0.83</v>
      </c>
      <c r="K30" s="4">
        <f t="shared" si="11"/>
        <v>0.83875</v>
      </c>
      <c r="L30" s="4">
        <f t="shared" si="11"/>
        <v>0.84750000000000003</v>
      </c>
      <c r="M30" s="4">
        <f t="shared" si="11"/>
        <v>0.85625000000000007</v>
      </c>
      <c r="N30" s="4">
        <f t="shared" si="11"/>
        <v>0.8650000000000001</v>
      </c>
      <c r="O30" s="4">
        <f t="shared" si="11"/>
        <v>0.87375000000000014</v>
      </c>
      <c r="P30" s="4">
        <f t="shared" si="11"/>
        <v>0.88250000000000017</v>
      </c>
      <c r="Q30" s="4">
        <f t="shared" si="11"/>
        <v>0.89125000000000021</v>
      </c>
      <c r="R30" s="4">
        <f t="shared" si="11"/>
        <v>0.9</v>
      </c>
      <c r="S30" s="4">
        <f t="shared" si="11"/>
        <v>0.90500000000000003</v>
      </c>
      <c r="T30" s="4">
        <f t="shared" si="11"/>
        <v>0.91</v>
      </c>
      <c r="U30" s="4">
        <f t="shared" si="11"/>
        <v>0.91500000000000004</v>
      </c>
      <c r="V30" s="4">
        <f t="shared" si="11"/>
        <v>0.92</v>
      </c>
      <c r="W30" s="4">
        <f t="shared" si="11"/>
        <v>0.92500000000000004</v>
      </c>
      <c r="X30" s="4">
        <f t="shared" si="11"/>
        <v>0.93</v>
      </c>
      <c r="Y30" s="4">
        <f t="shared" si="11"/>
        <v>0.93500000000000005</v>
      </c>
      <c r="Z30" s="4">
        <f t="shared" si="11"/>
        <v>0.94000000000000006</v>
      </c>
      <c r="AA30" s="4">
        <f t="shared" si="11"/>
        <v>0.94500000000000006</v>
      </c>
      <c r="AB30" s="4">
        <f t="shared" si="11"/>
        <v>0.95</v>
      </c>
      <c r="AC30" s="4">
        <f t="shared" si="11"/>
        <v>0.95</v>
      </c>
      <c r="AD30" s="4">
        <f t="shared" si="11"/>
        <v>0.95</v>
      </c>
      <c r="AE30" s="4">
        <f t="shared" si="11"/>
        <v>0.95</v>
      </c>
      <c r="AF30" s="4">
        <f t="shared" si="11"/>
        <v>0.95</v>
      </c>
      <c r="AG30" s="4">
        <f t="shared" si="11"/>
        <v>0.95</v>
      </c>
      <c r="AH30" s="4">
        <f t="shared" si="11"/>
        <v>0.95</v>
      </c>
      <c r="AI30" s="4">
        <f t="shared" si="11"/>
        <v>0.95</v>
      </c>
      <c r="AJ30" s="4">
        <f t="shared" si="11"/>
        <v>0.95</v>
      </c>
      <c r="AK30" s="4">
        <f t="shared" si="11"/>
        <v>0.95</v>
      </c>
      <c r="AL30" s="4">
        <f t="shared" si="11"/>
        <v>0.95</v>
      </c>
      <c r="AM30" s="255">
        <f>(AL30+AN30)/2</f>
        <v>0.97499999999999998</v>
      </c>
      <c r="AN30" s="4">
        <f t="shared" si="11"/>
        <v>1</v>
      </c>
      <c r="AO30" s="4">
        <f t="shared" si="11"/>
        <v>1</v>
      </c>
      <c r="AP30" s="4">
        <f t="shared" si="11"/>
        <v>1</v>
      </c>
    </row>
    <row r="31" spans="1:48">
      <c r="A31" s="4" t="s">
        <v>16</v>
      </c>
      <c r="C31" s="4" t="s">
        <v>54</v>
      </c>
      <c r="D31" s="4" t="s">
        <v>48</v>
      </c>
      <c r="E31" s="89">
        <f>(E29*E22+E30*E23+E24)/E25</f>
        <v>0.80398745653518777</v>
      </c>
      <c r="F31" s="71">
        <f>(F29*F22+F30*F23+F24)/F25</f>
        <v>0.87282729724049124</v>
      </c>
      <c r="G31" s="71">
        <f>(G29*G22+G30*G23+G24)/G25</f>
        <v>0.92043871195881966</v>
      </c>
      <c r="H31" s="71">
        <f>(H29*H22+H30*H23+H24)/H25</f>
        <v>0.949109480208843</v>
      </c>
      <c r="I31" s="71">
        <f>(I29*I22+I30*I23+I24)/I25</f>
        <v>0.98702737117494732</v>
      </c>
      <c r="J31" s="67"/>
    </row>
    <row r="32" spans="1:48">
      <c r="A32" s="4" t="s">
        <v>16</v>
      </c>
      <c r="N32" s="225"/>
    </row>
    <row r="33" spans="1:48" ht="15.75" thickBot="1">
      <c r="A33" s="4" t="s">
        <v>16</v>
      </c>
      <c r="B33" s="20" t="s">
        <v>59</v>
      </c>
      <c r="D33" s="20"/>
      <c r="E33" s="4">
        <f>E28</f>
        <v>2012</v>
      </c>
      <c r="F33" s="4">
        <f>F28</f>
        <v>2020</v>
      </c>
      <c r="G33" s="4">
        <f>G28</f>
        <v>2030</v>
      </c>
      <c r="H33" s="4">
        <f>H28</f>
        <v>2040</v>
      </c>
      <c r="I33" s="4">
        <f>I28</f>
        <v>2050</v>
      </c>
    </row>
    <row r="34" spans="1:48">
      <c r="A34" s="4" t="s">
        <v>16</v>
      </c>
      <c r="B34" s="4" t="str">
        <f>[6]RES!B26</f>
        <v>LE</v>
      </c>
      <c r="C34" s="4" t="str">
        <f>[6]RES!A26</f>
        <v>Low Income Electrified</v>
      </c>
      <c r="D34" s="4" t="s">
        <v>47</v>
      </c>
      <c r="E34" s="10">
        <f>E22</f>
        <v>26.517696951596729</v>
      </c>
      <c r="F34" s="10">
        <f t="shared" ref="F34:I34" si="12">F22</f>
        <v>27.09455867738976</v>
      </c>
      <c r="G34" s="10">
        <f t="shared" si="12"/>
        <v>26.514710316786477</v>
      </c>
      <c r="H34" s="10">
        <f t="shared" si="12"/>
        <v>23.049501217228059</v>
      </c>
      <c r="I34" s="10">
        <f t="shared" si="12"/>
        <v>19.509795942573113</v>
      </c>
      <c r="J34" s="10">
        <f>J22</f>
        <v>26.517696951596729</v>
      </c>
      <c r="K34" s="10">
        <f t="shared" ref="K34:AP34" si="13">K22</f>
        <v>26.582724136783497</v>
      </c>
      <c r="L34" s="10">
        <f t="shared" si="13"/>
        <v>26.3643490923054</v>
      </c>
      <c r="M34" s="10">
        <f t="shared" si="13"/>
        <v>26.235573092134736</v>
      </c>
      <c r="N34" s="10">
        <f t="shared" si="13"/>
        <v>26.267645477312975</v>
      </c>
      <c r="O34" s="10">
        <f t="shared" si="13"/>
        <v>26.125950018985858</v>
      </c>
      <c r="P34" s="10">
        <f t="shared" si="13"/>
        <v>26.001472962860248</v>
      </c>
      <c r="Q34" s="10">
        <f t="shared" si="13"/>
        <v>26.11047382042366</v>
      </c>
      <c r="R34" s="10">
        <f t="shared" si="13"/>
        <v>27.09455867738976</v>
      </c>
      <c r="S34" s="10">
        <f t="shared" si="13"/>
        <v>28.161364268191221</v>
      </c>
      <c r="T34" s="10">
        <f t="shared" si="13"/>
        <v>28.051707256010406</v>
      </c>
      <c r="U34" s="10">
        <f t="shared" si="13"/>
        <v>27.941778731574107</v>
      </c>
      <c r="V34" s="10">
        <f t="shared" si="13"/>
        <v>27.823014745824167</v>
      </c>
      <c r="W34" s="10">
        <f t="shared" si="13"/>
        <v>27.724399232032759</v>
      </c>
      <c r="X34" s="10">
        <f t="shared" si="13"/>
        <v>27.539488073042207</v>
      </c>
      <c r="Y34" s="10">
        <f t="shared" si="13"/>
        <v>27.311496969515957</v>
      </c>
      <c r="Z34" s="10">
        <f t="shared" si="13"/>
        <v>27.075530193485069</v>
      </c>
      <c r="AA34" s="10">
        <f t="shared" si="13"/>
        <v>26.786923978923557</v>
      </c>
      <c r="AB34" s="10">
        <f t="shared" si="13"/>
        <v>26.514710316786477</v>
      </c>
      <c r="AC34" s="10">
        <f t="shared" si="13"/>
        <v>26.207878842076063</v>
      </c>
      <c r="AD34" s="10">
        <f t="shared" si="13"/>
        <v>25.909588690402536</v>
      </c>
      <c r="AE34" s="10">
        <f t="shared" si="13"/>
        <v>25.598876853040931</v>
      </c>
      <c r="AF34" s="10">
        <f t="shared" si="13"/>
        <v>25.242053184290796</v>
      </c>
      <c r="AG34" s="10">
        <f t="shared" si="13"/>
        <v>24.852308654564069</v>
      </c>
      <c r="AH34" s="10">
        <f t="shared" si="13"/>
        <v>24.469306679181678</v>
      </c>
      <c r="AI34" s="10">
        <f t="shared" si="13"/>
        <v>24.101068182690859</v>
      </c>
      <c r="AJ34" s="10">
        <f t="shared" si="13"/>
        <v>23.746722063271964</v>
      </c>
      <c r="AK34" s="10">
        <f t="shared" si="13"/>
        <v>23.402025941933136</v>
      </c>
      <c r="AL34" s="10">
        <f t="shared" si="13"/>
        <v>23.049501217228059</v>
      </c>
      <c r="AM34" s="10">
        <f t="shared" si="13"/>
        <v>21.294366806749572</v>
      </c>
      <c r="AN34" s="10">
        <f t="shared" si="13"/>
        <v>19.509795942573113</v>
      </c>
      <c r="AO34" s="10">
        <f t="shared" si="13"/>
        <v>19.509795942573113</v>
      </c>
      <c r="AP34" s="10">
        <f t="shared" si="13"/>
        <v>19.509795942573113</v>
      </c>
      <c r="AQ34" s="10"/>
      <c r="AR34" s="10"/>
      <c r="AS34" s="10"/>
      <c r="AT34" s="10"/>
      <c r="AU34" s="10"/>
      <c r="AV34" s="10"/>
    </row>
    <row r="35" spans="1:48">
      <c r="A35" s="4" t="s">
        <v>16</v>
      </c>
      <c r="B35" s="4" t="str">
        <f>[6]RES!B27</f>
        <v>ME</v>
      </c>
      <c r="C35" s="4" t="str">
        <f>[6]RES!A27</f>
        <v>Middle Income Electrified</v>
      </c>
      <c r="D35" s="4" t="s">
        <v>47</v>
      </c>
      <c r="E35" s="10">
        <f t="shared" ref="E35:J36" si="14">E23</f>
        <v>15.910618170958038</v>
      </c>
      <c r="F35" s="10">
        <f t="shared" si="14"/>
        <v>18.506614723638457</v>
      </c>
      <c r="G35" s="10">
        <f t="shared" si="14"/>
        <v>20.394394183928146</v>
      </c>
      <c r="H35" s="10">
        <f t="shared" si="14"/>
        <v>23.710576994261572</v>
      </c>
      <c r="I35" s="10">
        <f t="shared" si="14"/>
        <v>27.206014458263109</v>
      </c>
      <c r="J35" s="10">
        <f t="shared" si="14"/>
        <v>15.910618170958038</v>
      </c>
      <c r="K35" s="10">
        <f t="shared" ref="K35:AP35" si="15">K23</f>
        <v>15.863884123984045</v>
      </c>
      <c r="L35" s="10">
        <f t="shared" si="15"/>
        <v>16.194540799112573</v>
      </c>
      <c r="M35" s="10">
        <f t="shared" si="15"/>
        <v>16.521147416430232</v>
      </c>
      <c r="N35" s="10">
        <f t="shared" si="15"/>
        <v>16.795171160270495</v>
      </c>
      <c r="O35" s="10">
        <f t="shared" si="15"/>
        <v>17.004099840860121</v>
      </c>
      <c r="P35" s="10">
        <f t="shared" si="15"/>
        <v>17.351205633466304</v>
      </c>
      <c r="Q35" s="10">
        <f t="shared" si="15"/>
        <v>17.684000467606715</v>
      </c>
      <c r="R35" s="10">
        <f t="shared" si="15"/>
        <v>18.506614723638457</v>
      </c>
      <c r="S35" s="10">
        <f t="shared" si="15"/>
        <v>17.704839033214579</v>
      </c>
      <c r="T35" s="10">
        <f t="shared" si="15"/>
        <v>17.997461366555022</v>
      </c>
      <c r="U35" s="10">
        <f t="shared" si="15"/>
        <v>18.267231418392807</v>
      </c>
      <c r="V35" s="10">
        <f t="shared" si="15"/>
        <v>18.56323634191607</v>
      </c>
      <c r="W35" s="10">
        <f t="shared" si="15"/>
        <v>18.854444548925905</v>
      </c>
      <c r="X35" s="10">
        <f t="shared" si="15"/>
        <v>19.12254027518825</v>
      </c>
      <c r="Y35" s="10">
        <f t="shared" si="15"/>
        <v>19.441363541182234</v>
      </c>
      <c r="Z35" s="10">
        <f t="shared" si="15"/>
        <v>19.749846715446797</v>
      </c>
      <c r="AA35" s="10">
        <f t="shared" si="15"/>
        <v>20.04517285833137</v>
      </c>
      <c r="AB35" s="10">
        <f t="shared" si="15"/>
        <v>20.394394183928146</v>
      </c>
      <c r="AC35" s="10">
        <f t="shared" si="15"/>
        <v>20.681337385924859</v>
      </c>
      <c r="AD35" s="10">
        <f t="shared" si="15"/>
        <v>21.029857304861654</v>
      </c>
      <c r="AE35" s="10">
        <f t="shared" si="15"/>
        <v>21.33977723147812</v>
      </c>
      <c r="AF35" s="10">
        <f t="shared" si="15"/>
        <v>21.663510344091979</v>
      </c>
      <c r="AG35" s="10">
        <f t="shared" si="15"/>
        <v>21.9904337257077</v>
      </c>
      <c r="AH35" s="10">
        <f t="shared" si="15"/>
        <v>22.343953995349523</v>
      </c>
      <c r="AI35" s="10">
        <f t="shared" si="15"/>
        <v>22.684215416515553</v>
      </c>
      <c r="AJ35" s="10">
        <f t="shared" si="15"/>
        <v>23.032769274484288</v>
      </c>
      <c r="AK35" s="10">
        <f t="shared" si="15"/>
        <v>23.372759183394834</v>
      </c>
      <c r="AL35" s="10">
        <f t="shared" si="15"/>
        <v>23.710576994261572</v>
      </c>
      <c r="AM35" s="10">
        <f t="shared" si="15"/>
        <v>25.436953731680774</v>
      </c>
      <c r="AN35" s="10">
        <f t="shared" si="15"/>
        <v>27.206014458263109</v>
      </c>
      <c r="AO35" s="10">
        <f t="shared" si="15"/>
        <v>27.206014458263109</v>
      </c>
      <c r="AP35" s="10">
        <f t="shared" si="15"/>
        <v>27.206014458263109</v>
      </c>
      <c r="AQ35" s="10"/>
      <c r="AR35" s="10"/>
      <c r="AS35" s="10"/>
      <c r="AT35" s="10"/>
      <c r="AU35" s="10"/>
      <c r="AV35" s="10"/>
    </row>
    <row r="36" spans="1:48">
      <c r="A36" s="4" t="s">
        <v>16</v>
      </c>
      <c r="B36" s="4" t="str">
        <f>[6]RES!B28</f>
        <v>HE</v>
      </c>
      <c r="C36" s="4" t="str">
        <f>[6]RES!A28</f>
        <v>High Income Electrified</v>
      </c>
      <c r="D36" s="4" t="s">
        <v>47</v>
      </c>
      <c r="E36" s="10">
        <f t="shared" si="14"/>
        <v>10.603684877445227</v>
      </c>
      <c r="F36" s="10">
        <f t="shared" si="14"/>
        <v>11.561826598971781</v>
      </c>
      <c r="G36" s="10">
        <f t="shared" si="14"/>
        <v>15.896895499285378</v>
      </c>
      <c r="H36" s="10">
        <f t="shared" si="14"/>
        <v>21.827921788510363</v>
      </c>
      <c r="I36" s="10">
        <f t="shared" si="14"/>
        <v>28.480189599163776</v>
      </c>
      <c r="J36" s="10">
        <f t="shared" si="14"/>
        <v>10.603684877445227</v>
      </c>
      <c r="K36" s="10">
        <f t="shared" ref="K36:AP36" si="16">K24</f>
        <v>11.067391739232461</v>
      </c>
      <c r="L36" s="10">
        <f t="shared" si="16"/>
        <v>11.441110108582027</v>
      </c>
      <c r="M36" s="10">
        <f t="shared" si="16"/>
        <v>11.733279491435036</v>
      </c>
      <c r="N36" s="10">
        <f t="shared" si="16"/>
        <v>11.962183362416532</v>
      </c>
      <c r="O36" s="10">
        <f t="shared" si="16"/>
        <v>12.42895014015402</v>
      </c>
      <c r="P36" s="10">
        <f t="shared" si="16"/>
        <v>12.741321403673446</v>
      </c>
      <c r="Q36" s="10">
        <f t="shared" si="16"/>
        <v>12.833525711969621</v>
      </c>
      <c r="R36" s="10">
        <f t="shared" si="16"/>
        <v>11.561826598971781</v>
      </c>
      <c r="S36" s="10">
        <f t="shared" si="16"/>
        <v>11.838796698594196</v>
      </c>
      <c r="T36" s="10">
        <f t="shared" si="16"/>
        <v>12.196831377434572</v>
      </c>
      <c r="U36" s="10">
        <f t="shared" si="16"/>
        <v>12.578989850033075</v>
      </c>
      <c r="V36" s="10">
        <f t="shared" si="16"/>
        <v>12.943748912259764</v>
      </c>
      <c r="W36" s="10">
        <f t="shared" si="16"/>
        <v>13.293156219041338</v>
      </c>
      <c r="X36" s="10">
        <f t="shared" si="16"/>
        <v>13.796971651769542</v>
      </c>
      <c r="Y36" s="10">
        <f t="shared" si="16"/>
        <v>14.29213948930181</v>
      </c>
      <c r="Z36" s="10">
        <f t="shared" si="16"/>
        <v>14.806623091068133</v>
      </c>
      <c r="AA36" s="10">
        <f t="shared" si="16"/>
        <v>15.386903162745075</v>
      </c>
      <c r="AB36" s="10">
        <f t="shared" si="16"/>
        <v>15.896895499285378</v>
      </c>
      <c r="AC36" s="10">
        <f t="shared" si="16"/>
        <v>16.483783771999072</v>
      </c>
      <c r="AD36" s="10">
        <f t="shared" si="16"/>
        <v>17.000554004735804</v>
      </c>
      <c r="AE36" s="10">
        <f t="shared" si="16"/>
        <v>17.568345915480958</v>
      </c>
      <c r="AF36" s="10">
        <f t="shared" si="16"/>
        <v>18.168436471617223</v>
      </c>
      <c r="AG36" s="10">
        <f t="shared" si="16"/>
        <v>18.798257619728236</v>
      </c>
      <c r="AH36" s="10">
        <f t="shared" si="16"/>
        <v>19.417739325468794</v>
      </c>
      <c r="AI36" s="10">
        <f t="shared" si="16"/>
        <v>20.034716400793577</v>
      </c>
      <c r="AJ36" s="10">
        <f t="shared" si="16"/>
        <v>20.629508662243754</v>
      </c>
      <c r="AK36" s="10">
        <f t="shared" si="16"/>
        <v>21.224214874672025</v>
      </c>
      <c r="AL36" s="10">
        <f t="shared" si="16"/>
        <v>21.827921788510363</v>
      </c>
      <c r="AM36" s="10">
        <f t="shared" si="16"/>
        <v>25.219679461569648</v>
      </c>
      <c r="AN36" s="10">
        <f t="shared" si="16"/>
        <v>28.480189599163776</v>
      </c>
      <c r="AO36" s="10">
        <f t="shared" si="16"/>
        <v>28.480189599163776</v>
      </c>
      <c r="AP36" s="10">
        <f t="shared" si="16"/>
        <v>28.480189599163776</v>
      </c>
      <c r="AQ36" s="10"/>
      <c r="AR36" s="10"/>
      <c r="AS36" s="10"/>
      <c r="AT36" s="10"/>
      <c r="AU36" s="10"/>
      <c r="AV36" s="10"/>
    </row>
    <row r="37" spans="1:48">
      <c r="A37" s="4" t="s">
        <v>16</v>
      </c>
      <c r="B37" s="4" t="str">
        <f>[6]RES!B29</f>
        <v>LN</v>
      </c>
      <c r="C37" s="4" t="str">
        <f>[6]RES!A29</f>
        <v>Low Income Non-Electrified</v>
      </c>
      <c r="D37" s="4" t="s">
        <v>47</v>
      </c>
      <c r="E37" s="10">
        <f t="shared" ref="E37:I38" si="17">E22-E34</f>
        <v>0</v>
      </c>
      <c r="F37" s="10">
        <f t="shared" si="17"/>
        <v>0</v>
      </c>
      <c r="G37" s="10">
        <f t="shared" si="17"/>
        <v>0</v>
      </c>
      <c r="H37" s="10">
        <f t="shared" si="17"/>
        <v>0</v>
      </c>
      <c r="I37" s="10">
        <f t="shared" si="17"/>
        <v>0</v>
      </c>
      <c r="J37" s="10">
        <f t="shared" ref="J37:AP37" si="18">J22-J34</f>
        <v>0</v>
      </c>
      <c r="K37" s="10">
        <f t="shared" si="18"/>
        <v>0</v>
      </c>
      <c r="L37" s="10">
        <f t="shared" si="18"/>
        <v>0</v>
      </c>
      <c r="M37" s="10">
        <f t="shared" si="18"/>
        <v>0</v>
      </c>
      <c r="N37" s="10">
        <f t="shared" si="18"/>
        <v>0</v>
      </c>
      <c r="O37" s="10">
        <f t="shared" si="18"/>
        <v>0</v>
      </c>
      <c r="P37" s="10">
        <f t="shared" si="18"/>
        <v>0</v>
      </c>
      <c r="Q37" s="10">
        <f t="shared" si="18"/>
        <v>0</v>
      </c>
      <c r="R37" s="10">
        <f t="shared" si="18"/>
        <v>0</v>
      </c>
      <c r="S37" s="10">
        <f t="shared" si="18"/>
        <v>0</v>
      </c>
      <c r="T37" s="10">
        <f t="shared" si="18"/>
        <v>0</v>
      </c>
      <c r="U37" s="10">
        <f t="shared" si="18"/>
        <v>0</v>
      </c>
      <c r="V37" s="10">
        <f t="shared" si="18"/>
        <v>0</v>
      </c>
      <c r="W37" s="10">
        <f t="shared" si="18"/>
        <v>0</v>
      </c>
      <c r="X37" s="10">
        <f t="shared" si="18"/>
        <v>0</v>
      </c>
      <c r="Y37" s="10">
        <f t="shared" si="18"/>
        <v>0</v>
      </c>
      <c r="Z37" s="10">
        <f t="shared" si="18"/>
        <v>0</v>
      </c>
      <c r="AA37" s="10">
        <f t="shared" si="18"/>
        <v>0</v>
      </c>
      <c r="AB37" s="10">
        <f t="shared" si="18"/>
        <v>0</v>
      </c>
      <c r="AC37" s="10">
        <f t="shared" si="18"/>
        <v>0</v>
      </c>
      <c r="AD37" s="10">
        <f t="shared" si="18"/>
        <v>0</v>
      </c>
      <c r="AE37" s="10">
        <f t="shared" si="18"/>
        <v>0</v>
      </c>
      <c r="AF37" s="10">
        <f t="shared" si="18"/>
        <v>0</v>
      </c>
      <c r="AG37" s="10">
        <f t="shared" si="18"/>
        <v>0</v>
      </c>
      <c r="AH37" s="10">
        <f t="shared" si="18"/>
        <v>0</v>
      </c>
      <c r="AI37" s="10">
        <f t="shared" si="18"/>
        <v>0</v>
      </c>
      <c r="AJ37" s="10">
        <f t="shared" si="18"/>
        <v>0</v>
      </c>
      <c r="AK37" s="10">
        <f t="shared" si="18"/>
        <v>0</v>
      </c>
      <c r="AL37" s="10">
        <f t="shared" si="18"/>
        <v>0</v>
      </c>
      <c r="AM37" s="10">
        <f t="shared" si="18"/>
        <v>0</v>
      </c>
      <c r="AN37" s="10">
        <f t="shared" si="18"/>
        <v>0</v>
      </c>
      <c r="AO37" s="10">
        <f t="shared" si="18"/>
        <v>0</v>
      </c>
      <c r="AP37" s="10">
        <f t="shared" si="18"/>
        <v>0</v>
      </c>
      <c r="AQ37" s="10"/>
      <c r="AR37" s="10"/>
      <c r="AS37" s="10"/>
      <c r="AT37" s="10"/>
      <c r="AU37" s="10"/>
      <c r="AV37" s="10"/>
    </row>
    <row r="38" spans="1:48">
      <c r="A38" s="4" t="s">
        <v>16</v>
      </c>
      <c r="B38" s="4" t="str">
        <f>[6]RES!B30</f>
        <v>MN</v>
      </c>
      <c r="C38" s="4" t="str">
        <f>[6]RES!A30</f>
        <v>Middle Income Non-Electrified</v>
      </c>
      <c r="D38" s="4" t="s">
        <v>47</v>
      </c>
      <c r="E38" s="10">
        <f t="shared" si="17"/>
        <v>0</v>
      </c>
      <c r="F38" s="10">
        <f t="shared" si="17"/>
        <v>0</v>
      </c>
      <c r="G38" s="10">
        <f t="shared" si="17"/>
        <v>0</v>
      </c>
      <c r="H38" s="10">
        <f t="shared" si="17"/>
        <v>0</v>
      </c>
      <c r="I38" s="10">
        <f t="shared" si="17"/>
        <v>0</v>
      </c>
      <c r="J38" s="10">
        <f t="shared" ref="J38:AP38" si="19">J23-J35</f>
        <v>0</v>
      </c>
      <c r="K38" s="10">
        <f t="shared" si="19"/>
        <v>0</v>
      </c>
      <c r="L38" s="10">
        <f t="shared" si="19"/>
        <v>0</v>
      </c>
      <c r="M38" s="10">
        <f t="shared" si="19"/>
        <v>0</v>
      </c>
      <c r="N38" s="10">
        <f t="shared" si="19"/>
        <v>0</v>
      </c>
      <c r="O38" s="10">
        <f t="shared" si="19"/>
        <v>0</v>
      </c>
      <c r="P38" s="10">
        <f t="shared" si="19"/>
        <v>0</v>
      </c>
      <c r="Q38" s="10">
        <f t="shared" si="19"/>
        <v>0</v>
      </c>
      <c r="R38" s="10">
        <f t="shared" si="19"/>
        <v>0</v>
      </c>
      <c r="S38" s="10">
        <f t="shared" si="19"/>
        <v>0</v>
      </c>
      <c r="T38" s="10">
        <f t="shared" si="19"/>
        <v>0</v>
      </c>
      <c r="U38" s="10">
        <f t="shared" si="19"/>
        <v>0</v>
      </c>
      <c r="V38" s="10">
        <f t="shared" si="19"/>
        <v>0</v>
      </c>
      <c r="W38" s="10">
        <f t="shared" si="19"/>
        <v>0</v>
      </c>
      <c r="X38" s="10">
        <f t="shared" si="19"/>
        <v>0</v>
      </c>
      <c r="Y38" s="10">
        <f t="shared" si="19"/>
        <v>0</v>
      </c>
      <c r="Z38" s="10">
        <f t="shared" si="19"/>
        <v>0</v>
      </c>
      <c r="AA38" s="10">
        <f t="shared" si="19"/>
        <v>0</v>
      </c>
      <c r="AB38" s="10">
        <f t="shared" si="19"/>
        <v>0</v>
      </c>
      <c r="AC38" s="10">
        <f t="shared" si="19"/>
        <v>0</v>
      </c>
      <c r="AD38" s="10">
        <f t="shared" si="19"/>
        <v>0</v>
      </c>
      <c r="AE38" s="10">
        <f t="shared" si="19"/>
        <v>0</v>
      </c>
      <c r="AF38" s="10">
        <f t="shared" si="19"/>
        <v>0</v>
      </c>
      <c r="AG38" s="10">
        <f t="shared" si="19"/>
        <v>0</v>
      </c>
      <c r="AH38" s="10">
        <f t="shared" si="19"/>
        <v>0</v>
      </c>
      <c r="AI38" s="10">
        <f t="shared" si="19"/>
        <v>0</v>
      </c>
      <c r="AJ38" s="10">
        <f t="shared" si="19"/>
        <v>0</v>
      </c>
      <c r="AK38" s="10">
        <f t="shared" si="19"/>
        <v>0</v>
      </c>
      <c r="AL38" s="10">
        <f t="shared" si="19"/>
        <v>0</v>
      </c>
      <c r="AM38" s="10">
        <f t="shared" si="19"/>
        <v>0</v>
      </c>
      <c r="AN38" s="10">
        <f t="shared" si="19"/>
        <v>0</v>
      </c>
      <c r="AO38" s="10">
        <f t="shared" si="19"/>
        <v>0</v>
      </c>
      <c r="AP38" s="10">
        <f t="shared" si="19"/>
        <v>0</v>
      </c>
      <c r="AQ38" s="10"/>
      <c r="AR38" s="10"/>
      <c r="AS38" s="10"/>
      <c r="AT38" s="10"/>
      <c r="AU38" s="10"/>
      <c r="AV38" s="10"/>
    </row>
    <row r="39" spans="1:48">
      <c r="A39" s="4" t="s">
        <v>16</v>
      </c>
      <c r="B39" s="25"/>
      <c r="J39" s="43"/>
      <c r="K39" s="6">
        <f>SUM(K34:K38)</f>
        <v>53.514000000000003</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16</v>
      </c>
      <c r="C44" s="4" t="s">
        <v>51</v>
      </c>
      <c r="E44" s="10">
        <f>SUMIF($J$3:$AV$3,E$21,$J44:$AV44)</f>
        <v>1</v>
      </c>
      <c r="F44" s="10">
        <f t="shared" ref="F44:I45" si="20">SUMIF($J$3:$AV$3,F$21,$J44:$AV44)</f>
        <v>1</v>
      </c>
      <c r="G44" s="10">
        <f t="shared" si="20"/>
        <v>1</v>
      </c>
      <c r="H44" s="10">
        <f t="shared" si="20"/>
        <v>1</v>
      </c>
      <c r="I44" s="10">
        <f t="shared" si="20"/>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16</v>
      </c>
      <c r="C45" s="4" t="s">
        <v>50</v>
      </c>
      <c r="E45" s="10">
        <f>SUMIF($J$3:$AV$3,E$21,$J45:$AV45)</f>
        <v>1</v>
      </c>
      <c r="F45" s="10">
        <f t="shared" si="20"/>
        <v>0.95221843003412987</v>
      </c>
      <c r="G45" s="10">
        <f t="shared" si="20"/>
        <v>1.1023890784982937</v>
      </c>
      <c r="H45" s="10">
        <f t="shared" si="20"/>
        <v>1.3620156089042583</v>
      </c>
      <c r="I45" s="10">
        <f t="shared" si="20"/>
        <v>1.7304739927162893</v>
      </c>
      <c r="J45" s="54">
        <f>INDEX(Drivers!$C$34:$AG$34,1,J21)/Drivers!$C$34</f>
        <v>1</v>
      </c>
      <c r="K45" s="54">
        <f>INDEX(Drivers!$C$34:$AG$34,1,K21)/Drivers!$C$34</f>
        <v>1.0170648464163823</v>
      </c>
      <c r="L45" s="54">
        <f>INDEX(Drivers!$C$34:$AG$34,1,L21)/Drivers!$C$34</f>
        <v>1.0273037542662116</v>
      </c>
      <c r="M45" s="54">
        <f>INDEX(Drivers!$C$34:$AG$34,1,M21)/Drivers!$C$34</f>
        <v>1.0341296928327646</v>
      </c>
      <c r="N45" s="54">
        <f>INDEX(Drivers!$C$34:$AG$34,1,N21)/Drivers!$C$34</f>
        <v>1.0341296928327646</v>
      </c>
      <c r="O45" s="54">
        <f>INDEX(Drivers!$C$34:$AG$34,1,O21)/Drivers!$C$34</f>
        <v>1.0477815699658704</v>
      </c>
      <c r="P45" s="54">
        <f>INDEX(Drivers!$C$34:$AG$34,1,P21)/Drivers!$C$34</f>
        <v>1.0511945392491469</v>
      </c>
      <c r="Q45" s="54">
        <f>INDEX(Drivers!$C$34:$AG$34,1,Q21)/Drivers!$C$34</f>
        <v>1.0443686006825939</v>
      </c>
      <c r="R45" s="54">
        <f>INDEX(Drivers!$C$34:$AG$34,1,R21)/Drivers!$C$34</f>
        <v>0.95221843003412987</v>
      </c>
      <c r="S45" s="54">
        <f>INDEX(Drivers!$C$34:$AG$34,1,S21)/Drivers!$C$34</f>
        <v>0.97610921501706482</v>
      </c>
      <c r="T45" s="54">
        <f>INDEX(Drivers!$C$34:$AG$34,1,T21)/Drivers!$C$34</f>
        <v>0.98634812286689422</v>
      </c>
      <c r="U45" s="54">
        <f>INDEX(Drivers!$C$34:$AG$34,1,U21)/Drivers!$C$34</f>
        <v>1</v>
      </c>
      <c r="V45" s="54">
        <f>INDEX(Drivers!$C$34:$AG$34,1,V21)/Drivers!$C$34</f>
        <v>1.0102389078498293</v>
      </c>
      <c r="W45" s="54">
        <f>INDEX(Drivers!$C$34:$AG$34,1,W21)/Drivers!$C$34</f>
        <v>1.0204778156996588</v>
      </c>
      <c r="X45" s="54">
        <f>INDEX(Drivers!$C$34:$AG$34,1,X21)/Drivers!$C$34</f>
        <v>1.0375426621160411</v>
      </c>
      <c r="Y45" s="54">
        <f>INDEX(Drivers!$C$34:$AG$34,1,Y21)/Drivers!$C$34</f>
        <v>1.0511945392491469</v>
      </c>
      <c r="Z45" s="54">
        <f>INDEX(Drivers!$C$34:$AG$34,1,Z21)/Drivers!$C$34</f>
        <v>1.0682593856655291</v>
      </c>
      <c r="AA45" s="54">
        <f>INDEX(Drivers!$C$34:$AG$34,1,AA21)/Drivers!$C$34</f>
        <v>1.0887372013651877</v>
      </c>
      <c r="AB45" s="54">
        <f>INDEX(Drivers!$C$34:$AG$34,1,AB21)/Drivers!$C$34</f>
        <v>1.1023890784982937</v>
      </c>
      <c r="AC45" s="54">
        <f>INDEX(Drivers!$C$34:$AG$34,1,AC21)/Drivers!$C$34</f>
        <v>1.1262798634812288</v>
      </c>
      <c r="AD45" s="54">
        <f>INDEX(Drivers!$C$34:$AG$34,1,AD21)/Drivers!$C$34</f>
        <v>1.1467576791808876</v>
      </c>
      <c r="AE45" s="54">
        <f>INDEX(Drivers!$C$34:$AG$34,1,AE21)/Drivers!$C$34</f>
        <v>1.1706484641638226</v>
      </c>
      <c r="AF45" s="54">
        <f>INDEX(Drivers!$C$34:$AG$34,1,AF21)/Drivers!$C$34</f>
        <v>1.1945392491467577</v>
      </c>
      <c r="AG45" s="54">
        <f>INDEX(Drivers!$C$34:$AG$34,1,AG21)/Drivers!$C$34</f>
        <v>1.2205074936934264</v>
      </c>
      <c r="AH45" s="54">
        <f>INDEX(Drivers!$C$34:$AG$34,1,AH21)/Drivers!$C$34</f>
        <v>1.2470402652954575</v>
      </c>
      <c r="AI45" s="54">
        <f>INDEX(Drivers!$C$34:$AG$34,1,AI21)/Drivers!$C$34</f>
        <v>1.2765211226310476</v>
      </c>
      <c r="AJ45" s="54">
        <f>INDEX(Drivers!$C$34:$AG$34,1,AJ21)/Drivers!$C$34</f>
        <v>1.3030538942330787</v>
      </c>
      <c r="AK45" s="54">
        <f>INDEX(Drivers!$C$34:$AG$34,1,AK21)/Drivers!$C$34</f>
        <v>1.3325347515686685</v>
      </c>
      <c r="AL45" s="54">
        <f>INDEX(Drivers!$C$34:$AG$34,1,AL21)/Drivers!$C$34</f>
        <v>1.3620156089042583</v>
      </c>
      <c r="AM45" s="54">
        <f>INDEX(Drivers!$C$34:$AG$34,1,AM21)/Drivers!$C$34</f>
        <v>1.5300564957171214</v>
      </c>
      <c r="AN45" s="54">
        <f>INDEX(Drivers!$C$34:$AG$34,1,AN21)/Drivers!$C$34</f>
        <v>1.7304739927162893</v>
      </c>
      <c r="AO45" s="37">
        <f>AN45</f>
        <v>1.7304739927162893</v>
      </c>
      <c r="AP45" s="37">
        <f>AO45</f>
        <v>1.7304739927162893</v>
      </c>
      <c r="AQ45" s="37"/>
      <c r="AR45" s="37"/>
      <c r="AS45" s="68"/>
      <c r="AT45" s="68"/>
      <c r="AU45" s="68"/>
      <c r="AV45" s="68"/>
    </row>
    <row r="46" spans="1:48">
      <c r="A46" s="4" t="s">
        <v>16</v>
      </c>
      <c r="H46" s="130">
        <f>I46^(1/40)-1</f>
        <v>1.3804295301459435E-2</v>
      </c>
      <c r="I46" s="6">
        <f>I45/E45</f>
        <v>1.7304739927162893</v>
      </c>
      <c r="L46" s="24"/>
    </row>
    <row r="47" spans="1:48" ht="15.75" thickBot="1">
      <c r="A47" s="4" t="s">
        <v>16</v>
      </c>
      <c r="C47" s="88" t="s">
        <v>213</v>
      </c>
      <c r="D47" s="88"/>
      <c r="E47" s="7">
        <v>2012</v>
      </c>
      <c r="F47" s="7">
        <v>2020</v>
      </c>
      <c r="G47" s="7">
        <v>2030</v>
      </c>
      <c r="H47" s="7">
        <v>2040</v>
      </c>
      <c r="I47" s="7">
        <v>2050</v>
      </c>
    </row>
    <row r="48" spans="1:48">
      <c r="A48" s="4" t="s">
        <v>16</v>
      </c>
      <c r="C48" s="4" t="s">
        <v>49</v>
      </c>
      <c r="D48" s="36" t="s">
        <v>55</v>
      </c>
      <c r="E48" s="89"/>
      <c r="F48" s="89">
        <f t="shared" ref="F48:I50" si="21">(F43/E43)^(1/(F$42-E$42))-1</f>
        <v>0</v>
      </c>
      <c r="G48" s="89">
        <f t="shared" si="21"/>
        <v>0</v>
      </c>
      <c r="H48" s="89">
        <f t="shared" si="21"/>
        <v>0</v>
      </c>
      <c r="I48" s="89">
        <f t="shared" si="21"/>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9"/>
      <c r="F49" s="89">
        <f t="shared" si="21"/>
        <v>0</v>
      </c>
      <c r="G49" s="89">
        <f t="shared" si="21"/>
        <v>0</v>
      </c>
      <c r="H49" s="89">
        <f t="shared" si="21"/>
        <v>0</v>
      </c>
      <c r="I49" s="89">
        <f t="shared" si="21"/>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9"/>
      <c r="F50" s="63">
        <f t="shared" si="21"/>
        <v>-6.1014137136932156E-3</v>
      </c>
      <c r="G50" s="63">
        <f>(G45/F45)^(1/(G$42-F$42))-1</f>
        <v>1.4751803621559922E-2</v>
      </c>
      <c r="H50" s="63">
        <f>(H45/G45)^(1/(H$42-G$42))-1</f>
        <v>2.1373811785192709E-2</v>
      </c>
      <c r="I50" s="63">
        <f>(I45/H45)^(1/(I$42-H$42))-1</f>
        <v>2.4231902975435649E-2</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[6]RES!$B32</f>
        <v>0</v>
      </c>
      <c r="C54" s="4" t="str">
        <f>[6]RES!A32</f>
        <v>USE the names but not the numbers in the greyed out stuff, all the balance numbers are taken directly from the energy balance sheet</v>
      </c>
      <c r="E54" s="4">
        <v>0.3</v>
      </c>
      <c r="F54" s="12">
        <v>0.25</v>
      </c>
      <c r="G54" s="12">
        <v>0.2</v>
      </c>
      <c r="H54" s="41"/>
      <c r="J54" s="4"/>
    </row>
    <row r="55" spans="1:47">
      <c r="A55" s="4" t="s">
        <v>16</v>
      </c>
      <c r="B55" s="4" t="str">
        <f>[6]RES!$B33</f>
        <v>Demand</v>
      </c>
      <c r="C55" s="4" t="str">
        <f>[6]RES!A33</f>
        <v>End use demands</v>
      </c>
      <c r="E55" s="4">
        <v>0.1</v>
      </c>
      <c r="F55" s="12">
        <v>0.1</v>
      </c>
      <c r="G55" s="12">
        <v>0.1</v>
      </c>
      <c r="H55" s="41"/>
      <c r="J55" s="4"/>
    </row>
    <row r="56" spans="1:47">
      <c r="A56" s="4" t="s">
        <v>16</v>
      </c>
      <c r="B56" s="4" t="str">
        <f>[6]RES!$B34</f>
        <v>L</v>
      </c>
      <c r="C56" s="4" t="str">
        <f>[6]RES!A34</f>
        <v>Lighting</v>
      </c>
      <c r="E56" s="4">
        <v>0.5</v>
      </c>
      <c r="F56" s="12">
        <v>0.4</v>
      </c>
      <c r="G56" s="12">
        <v>0.3</v>
      </c>
      <c r="H56" s="41"/>
      <c r="J56" s="4"/>
    </row>
    <row r="57" spans="1:47">
      <c r="A57" s="4" t="s">
        <v>16</v>
      </c>
      <c r="B57" s="4" t="str">
        <f>[6]RES!$B35</f>
        <v>K</v>
      </c>
      <c r="C57" s="4" t="str">
        <f>[6]RES!A35</f>
        <v>Cooking</v>
      </c>
      <c r="E57" s="4">
        <v>0.3</v>
      </c>
      <c r="F57" s="12">
        <v>0.25</v>
      </c>
      <c r="G57" s="12">
        <v>0.2</v>
      </c>
      <c r="H57" s="41"/>
      <c r="J57" s="4"/>
    </row>
    <row r="58" spans="1:47">
      <c r="A58" s="4" t="s">
        <v>16</v>
      </c>
      <c r="B58" s="4" t="str">
        <f>[6]RES!$B36</f>
        <v>H</v>
      </c>
      <c r="C58" s="4" t="str">
        <f>[6]RES!A36</f>
        <v>Space Heating</v>
      </c>
      <c r="E58" s="4">
        <v>0.2</v>
      </c>
      <c r="F58" s="12">
        <v>0.15</v>
      </c>
      <c r="G58" s="12">
        <v>0.1</v>
      </c>
      <c r="H58" s="41"/>
      <c r="J58" s="4"/>
    </row>
    <row r="59" spans="1:47">
      <c r="A59" s="4" t="s">
        <v>16</v>
      </c>
      <c r="B59" s="4" t="str">
        <f>[6]RES!$B37</f>
        <v>WG</v>
      </c>
      <c r="C59" s="4" t="str">
        <f>[6]RES!A37</f>
        <v>Water Heating Geyser</v>
      </c>
      <c r="E59" s="4">
        <v>0.5</v>
      </c>
      <c r="F59" s="12">
        <v>0.4</v>
      </c>
      <c r="G59" s="12">
        <v>0.3</v>
      </c>
      <c r="H59" s="41"/>
      <c r="J59" s="4"/>
    </row>
    <row r="60" spans="1:47">
      <c r="A60" s="4" t="s">
        <v>16</v>
      </c>
      <c r="B60" s="4" t="str">
        <f>[6]RES!$B38</f>
        <v>W</v>
      </c>
      <c r="C60" s="4" t="str">
        <f>[6]RES!A38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22">FORECAST(E$45,$E54:$G54,$E$53:$G$53)</f>
        <v>0.39899999999999997</v>
      </c>
      <c r="F63" s="6">
        <f t="shared" si="22"/>
        <v>0.39904778156996584</v>
      </c>
      <c r="G63" s="6">
        <f t="shared" si="22"/>
        <v>0.39889761092150167</v>
      </c>
      <c r="H63" s="6">
        <f t="shared" si="22"/>
        <v>0.39863798439109571</v>
      </c>
      <c r="I63" s="6">
        <f t="shared" si="22"/>
        <v>0.39826952600728366</v>
      </c>
      <c r="J63" s="4">
        <f>IF(J$7=-1,K63,IF(J$7=99,I63,IF(J$7=0,INDEX($E63:$I63,0,J$5),(INDEX($E63:$I63,0,J$7+1)-INDEX($E63:$I63,0,J$7))/(INDEX($E$4:$I$4,0,J$7+1)-INDEX($E$4:$I$4,0,J$7))+I63)))</f>
        <v>0.39899999999999997</v>
      </c>
      <c r="K63" s="4">
        <f t="shared" ref="K63:AP63" si="23">IF(K$7=-1,L63,IF(K$7=99,J63,IF(K$7=0,INDEX($E63:$I63,0,K$5),(INDEX($E63:$I63,0,K$7+1)-INDEX($E63:$I63,0,K$7))/(INDEX($E$4:$I$4,0,K$7+1)-INDEX($E$4:$I$4,0,K$7))+J63)))</f>
        <v>0.39900597269624571</v>
      </c>
      <c r="L63" s="4">
        <f t="shared" si="23"/>
        <v>0.39901194539249146</v>
      </c>
      <c r="M63" s="4">
        <f t="shared" si="23"/>
        <v>0.39901791808873721</v>
      </c>
      <c r="N63" s="4">
        <f t="shared" si="23"/>
        <v>0.39902389078498296</v>
      </c>
      <c r="O63" s="4">
        <f t="shared" si="23"/>
        <v>0.39902986348122871</v>
      </c>
      <c r="P63" s="4">
        <f t="shared" si="23"/>
        <v>0.39903583617747446</v>
      </c>
      <c r="Q63" s="4">
        <f t="shared" si="23"/>
        <v>0.39904180887372021</v>
      </c>
      <c r="R63" s="4">
        <f t="shared" si="23"/>
        <v>0.39904778156996584</v>
      </c>
      <c r="S63" s="4">
        <f t="shared" si="23"/>
        <v>0.39903276450511943</v>
      </c>
      <c r="T63" s="4">
        <f t="shared" si="23"/>
        <v>0.39901774744027302</v>
      </c>
      <c r="U63" s="4">
        <f t="shared" si="23"/>
        <v>0.39900273037542661</v>
      </c>
      <c r="V63" s="4">
        <f t="shared" si="23"/>
        <v>0.39898771331058019</v>
      </c>
      <c r="W63" s="4">
        <f t="shared" si="23"/>
        <v>0.39897269624573378</v>
      </c>
      <c r="X63" s="4">
        <f t="shared" si="23"/>
        <v>0.39895767918088737</v>
      </c>
      <c r="Y63" s="4">
        <f t="shared" si="23"/>
        <v>0.39894266211604096</v>
      </c>
      <c r="Z63" s="4">
        <f t="shared" si="23"/>
        <v>0.39892764505119455</v>
      </c>
      <c r="AA63" s="4">
        <f t="shared" si="23"/>
        <v>0.39891262798634813</v>
      </c>
      <c r="AB63" s="4">
        <f t="shared" si="23"/>
        <v>0.39889761092150167</v>
      </c>
      <c r="AC63" s="4">
        <f t="shared" si="23"/>
        <v>0.39887164826846105</v>
      </c>
      <c r="AD63" s="4">
        <f t="shared" si="23"/>
        <v>0.39884568561542044</v>
      </c>
      <c r="AE63" s="4">
        <f t="shared" si="23"/>
        <v>0.39881972296237983</v>
      </c>
      <c r="AF63" s="4">
        <f t="shared" si="23"/>
        <v>0.39879376030933922</v>
      </c>
      <c r="AG63" s="4">
        <f t="shared" si="23"/>
        <v>0.39876779765629861</v>
      </c>
      <c r="AH63" s="4">
        <f t="shared" si="23"/>
        <v>0.39874183500325799</v>
      </c>
      <c r="AI63" s="4">
        <f t="shared" si="23"/>
        <v>0.39871587235021738</v>
      </c>
      <c r="AJ63" s="4">
        <f t="shared" si="23"/>
        <v>0.39868990969717677</v>
      </c>
      <c r="AK63" s="4">
        <f t="shared" si="23"/>
        <v>0.39866394704413616</v>
      </c>
      <c r="AL63" s="4">
        <f t="shared" si="23"/>
        <v>0.39863798439109571</v>
      </c>
      <c r="AM63" s="4">
        <f t="shared" si="23"/>
        <v>0.39860113855271451</v>
      </c>
      <c r="AN63" s="4">
        <f t="shared" si="23"/>
        <v>0.39826952600728366</v>
      </c>
      <c r="AO63" s="4">
        <f t="shared" si="23"/>
        <v>0.39826952600728366</v>
      </c>
      <c r="AP63" s="4">
        <f t="shared" si="23"/>
        <v>0.39826952600728366</v>
      </c>
    </row>
    <row r="64" spans="1:47">
      <c r="A64" s="4" t="s">
        <v>16</v>
      </c>
      <c r="C64" s="4" t="str">
        <f t="shared" ref="C64:C69" si="24">C55</f>
        <v>End use demands</v>
      </c>
      <c r="E64" s="6">
        <f t="shared" si="22"/>
        <v>0.10000000000000002</v>
      </c>
      <c r="F64" s="6">
        <f t="shared" si="22"/>
        <v>0.10000000000000002</v>
      </c>
      <c r="G64" s="6">
        <f t="shared" si="22"/>
        <v>0.10000000000000002</v>
      </c>
      <c r="H64" s="6">
        <f t="shared" si="22"/>
        <v>0.10000000000000002</v>
      </c>
      <c r="I64" s="6">
        <f t="shared" si="22"/>
        <v>0.10000000000000002</v>
      </c>
      <c r="J64" s="4">
        <f t="shared" ref="J64:AP64" si="25">IF(J$7=-1,K64,IF(J$7=99,I64,IF(J$7=0,INDEX($E64:$I64,0,J$5),(INDEX($E64:$I64,0,J$7+1)-INDEX($E64:$I64,0,J$7))/(INDEX($E$4:$I$4,0,J$7+1)-INDEX($E$4:$I$4,0,J$7))+I64)))</f>
        <v>0.10000000000000002</v>
      </c>
      <c r="K64" s="4">
        <f t="shared" si="25"/>
        <v>0.10000000000000002</v>
      </c>
      <c r="L64" s="4">
        <f t="shared" si="25"/>
        <v>0.10000000000000002</v>
      </c>
      <c r="M64" s="4">
        <f t="shared" si="25"/>
        <v>0.10000000000000002</v>
      </c>
      <c r="N64" s="4">
        <f t="shared" si="25"/>
        <v>0.10000000000000002</v>
      </c>
      <c r="O64" s="4">
        <f t="shared" si="25"/>
        <v>0.10000000000000002</v>
      </c>
      <c r="P64" s="4">
        <f t="shared" si="25"/>
        <v>0.10000000000000002</v>
      </c>
      <c r="Q64" s="4">
        <f t="shared" si="25"/>
        <v>0.10000000000000002</v>
      </c>
      <c r="R64" s="4">
        <f t="shared" si="25"/>
        <v>0.10000000000000002</v>
      </c>
      <c r="S64" s="4">
        <f t="shared" si="25"/>
        <v>0.10000000000000002</v>
      </c>
      <c r="T64" s="4">
        <f t="shared" si="25"/>
        <v>0.10000000000000002</v>
      </c>
      <c r="U64" s="4">
        <f t="shared" si="25"/>
        <v>0.10000000000000002</v>
      </c>
      <c r="V64" s="4">
        <f t="shared" si="25"/>
        <v>0.10000000000000002</v>
      </c>
      <c r="W64" s="4">
        <f t="shared" si="25"/>
        <v>0.10000000000000002</v>
      </c>
      <c r="X64" s="4">
        <f t="shared" si="25"/>
        <v>0.10000000000000002</v>
      </c>
      <c r="Y64" s="4">
        <f t="shared" si="25"/>
        <v>0.10000000000000002</v>
      </c>
      <c r="Z64" s="4">
        <f t="shared" si="25"/>
        <v>0.10000000000000002</v>
      </c>
      <c r="AA64" s="4">
        <f t="shared" si="25"/>
        <v>0.10000000000000002</v>
      </c>
      <c r="AB64" s="4">
        <f t="shared" si="25"/>
        <v>0.10000000000000002</v>
      </c>
      <c r="AC64" s="4">
        <f t="shared" si="25"/>
        <v>0.10000000000000002</v>
      </c>
      <c r="AD64" s="4">
        <f t="shared" si="25"/>
        <v>0.10000000000000002</v>
      </c>
      <c r="AE64" s="4">
        <f t="shared" si="25"/>
        <v>0.10000000000000002</v>
      </c>
      <c r="AF64" s="4">
        <f t="shared" si="25"/>
        <v>0.10000000000000002</v>
      </c>
      <c r="AG64" s="4">
        <f t="shared" si="25"/>
        <v>0.10000000000000002</v>
      </c>
      <c r="AH64" s="4">
        <f t="shared" si="25"/>
        <v>0.10000000000000002</v>
      </c>
      <c r="AI64" s="4">
        <f t="shared" si="25"/>
        <v>0.10000000000000002</v>
      </c>
      <c r="AJ64" s="4">
        <f t="shared" si="25"/>
        <v>0.10000000000000002</v>
      </c>
      <c r="AK64" s="4">
        <f t="shared" si="25"/>
        <v>0.10000000000000002</v>
      </c>
      <c r="AL64" s="4">
        <f t="shared" si="25"/>
        <v>0.10000000000000002</v>
      </c>
      <c r="AM64" s="4">
        <f t="shared" si="25"/>
        <v>0.10000000000000002</v>
      </c>
      <c r="AN64" s="4">
        <f t="shared" si="25"/>
        <v>0.10000000000000002</v>
      </c>
      <c r="AO64" s="4">
        <f t="shared" si="25"/>
        <v>0.10000000000000002</v>
      </c>
      <c r="AP64" s="4">
        <f t="shared" si="25"/>
        <v>0.10000000000000002</v>
      </c>
    </row>
    <row r="65" spans="1:42">
      <c r="A65" s="4" t="s">
        <v>16</v>
      </c>
      <c r="C65" s="4" t="str">
        <f t="shared" si="24"/>
        <v>Lighting</v>
      </c>
      <c r="E65" s="6">
        <f t="shared" si="22"/>
        <v>0.69799999999999995</v>
      </c>
      <c r="F65" s="6">
        <f t="shared" si="22"/>
        <v>0.69809556313993171</v>
      </c>
      <c r="G65" s="6">
        <f t="shared" si="22"/>
        <v>0.69779522184300335</v>
      </c>
      <c r="H65" s="6">
        <f t="shared" si="22"/>
        <v>0.69727596878219145</v>
      </c>
      <c r="I65" s="6">
        <f t="shared" si="22"/>
        <v>0.69653905201456734</v>
      </c>
      <c r="J65" s="4">
        <f t="shared" ref="J65:AP65" si="26">IF(J$7=-1,K65,IF(J$7=99,I65,IF(J$7=0,INDEX($E65:$I65,0,J$5),(INDEX($E65:$I65,0,J$7+1)-INDEX($E65:$I65,0,J$7))/(INDEX($E$4:$I$4,0,J$7+1)-INDEX($E$4:$I$4,0,J$7))+I65)))</f>
        <v>0.69799999999999995</v>
      </c>
      <c r="K65" s="4">
        <f t="shared" si="26"/>
        <v>0.69801194539249145</v>
      </c>
      <c r="L65" s="4">
        <f t="shared" si="26"/>
        <v>0.69802389078498295</v>
      </c>
      <c r="M65" s="4">
        <f t="shared" si="26"/>
        <v>0.69803583617747444</v>
      </c>
      <c r="N65" s="4">
        <f t="shared" si="26"/>
        <v>0.69804778156996594</v>
      </c>
      <c r="O65" s="4">
        <f t="shared" si="26"/>
        <v>0.69805972696245744</v>
      </c>
      <c r="P65" s="4">
        <f t="shared" si="26"/>
        <v>0.69807167235494894</v>
      </c>
      <c r="Q65" s="4">
        <f t="shared" si="26"/>
        <v>0.69808361774744043</v>
      </c>
      <c r="R65" s="4">
        <f t="shared" si="26"/>
        <v>0.69809556313993171</v>
      </c>
      <c r="S65" s="4">
        <f t="shared" si="26"/>
        <v>0.69806552901023888</v>
      </c>
      <c r="T65" s="4">
        <f t="shared" si="26"/>
        <v>0.69803549488054606</v>
      </c>
      <c r="U65" s="4">
        <f t="shared" si="26"/>
        <v>0.69800546075085323</v>
      </c>
      <c r="V65" s="4">
        <f t="shared" si="26"/>
        <v>0.69797542662116041</v>
      </c>
      <c r="W65" s="4">
        <f t="shared" si="26"/>
        <v>0.69794539249146759</v>
      </c>
      <c r="X65" s="4">
        <f t="shared" si="26"/>
        <v>0.69791535836177476</v>
      </c>
      <c r="Y65" s="4">
        <f t="shared" si="26"/>
        <v>0.69788532423208194</v>
      </c>
      <c r="Z65" s="4">
        <f t="shared" si="26"/>
        <v>0.69785529010238911</v>
      </c>
      <c r="AA65" s="4">
        <f t="shared" si="26"/>
        <v>0.69782525597269629</v>
      </c>
      <c r="AB65" s="4">
        <f t="shared" si="26"/>
        <v>0.69779522184300335</v>
      </c>
      <c r="AC65" s="4">
        <f t="shared" si="26"/>
        <v>0.69774329653692213</v>
      </c>
      <c r="AD65" s="4">
        <f t="shared" si="26"/>
        <v>0.69769137123084091</v>
      </c>
      <c r="AE65" s="4">
        <f t="shared" si="26"/>
        <v>0.69763944592475968</v>
      </c>
      <c r="AF65" s="4">
        <f t="shared" si="26"/>
        <v>0.69758752061867846</v>
      </c>
      <c r="AG65" s="4">
        <f t="shared" si="26"/>
        <v>0.69753559531259723</v>
      </c>
      <c r="AH65" s="4">
        <f t="shared" si="26"/>
        <v>0.69748367000651601</v>
      </c>
      <c r="AI65" s="4">
        <f t="shared" si="26"/>
        <v>0.69743174470043479</v>
      </c>
      <c r="AJ65" s="4">
        <f t="shared" si="26"/>
        <v>0.69737981939435356</v>
      </c>
      <c r="AK65" s="4">
        <f t="shared" si="26"/>
        <v>0.69732789408827234</v>
      </c>
      <c r="AL65" s="4">
        <f t="shared" si="26"/>
        <v>0.69727596878219145</v>
      </c>
      <c r="AM65" s="4">
        <f t="shared" si="26"/>
        <v>0.69720227710542904</v>
      </c>
      <c r="AN65" s="4">
        <f t="shared" si="26"/>
        <v>0.69653905201456734</v>
      </c>
      <c r="AO65" s="4">
        <f t="shared" si="26"/>
        <v>0.69653905201456734</v>
      </c>
      <c r="AP65" s="4">
        <f t="shared" si="26"/>
        <v>0.69653905201456734</v>
      </c>
    </row>
    <row r="66" spans="1:42">
      <c r="A66" s="4" t="s">
        <v>16</v>
      </c>
      <c r="C66" s="4" t="str">
        <f t="shared" si="24"/>
        <v>Cooking</v>
      </c>
      <c r="E66" s="6">
        <f t="shared" si="22"/>
        <v>0.39899999999999997</v>
      </c>
      <c r="F66" s="6">
        <f t="shared" si="22"/>
        <v>0.39904778156996584</v>
      </c>
      <c r="G66" s="6">
        <f t="shared" si="22"/>
        <v>0.39889761092150167</v>
      </c>
      <c r="H66" s="6">
        <f t="shared" si="22"/>
        <v>0.39863798439109571</v>
      </c>
      <c r="I66" s="6">
        <f t="shared" si="22"/>
        <v>0.39826952600728366</v>
      </c>
      <c r="J66" s="4">
        <f t="shared" ref="J66:AP66" si="27">IF(J$7=-1,K66,IF(J$7=99,I66,IF(J$7=0,INDEX($E66:$I66,0,J$5),(INDEX($E66:$I66,0,J$7+1)-INDEX($E66:$I66,0,J$7))/(INDEX($E$4:$I$4,0,J$7+1)-INDEX($E$4:$I$4,0,J$7))+I66)))</f>
        <v>0.39899999999999997</v>
      </c>
      <c r="K66" s="4">
        <f t="shared" si="27"/>
        <v>0.39900597269624571</v>
      </c>
      <c r="L66" s="4">
        <f t="shared" si="27"/>
        <v>0.39901194539249146</v>
      </c>
      <c r="M66" s="4">
        <f t="shared" si="27"/>
        <v>0.39901791808873721</v>
      </c>
      <c r="N66" s="4">
        <f t="shared" si="27"/>
        <v>0.39902389078498296</v>
      </c>
      <c r="O66" s="4">
        <f t="shared" si="27"/>
        <v>0.39902986348122871</v>
      </c>
      <c r="P66" s="4">
        <f t="shared" si="27"/>
        <v>0.39903583617747446</v>
      </c>
      <c r="Q66" s="4">
        <f t="shared" si="27"/>
        <v>0.39904180887372021</v>
      </c>
      <c r="R66" s="4">
        <f t="shared" si="27"/>
        <v>0.39904778156996584</v>
      </c>
      <c r="S66" s="4">
        <f t="shared" si="27"/>
        <v>0.39903276450511943</v>
      </c>
      <c r="T66" s="4">
        <f t="shared" si="27"/>
        <v>0.39901774744027302</v>
      </c>
      <c r="U66" s="4">
        <f t="shared" si="27"/>
        <v>0.39900273037542661</v>
      </c>
      <c r="V66" s="4">
        <f t="shared" si="27"/>
        <v>0.39898771331058019</v>
      </c>
      <c r="W66" s="4">
        <f t="shared" si="27"/>
        <v>0.39897269624573378</v>
      </c>
      <c r="X66" s="4">
        <f t="shared" si="27"/>
        <v>0.39895767918088737</v>
      </c>
      <c r="Y66" s="4">
        <f t="shared" si="27"/>
        <v>0.39894266211604096</v>
      </c>
      <c r="Z66" s="4">
        <f t="shared" si="27"/>
        <v>0.39892764505119455</v>
      </c>
      <c r="AA66" s="4">
        <f t="shared" si="27"/>
        <v>0.39891262798634813</v>
      </c>
      <c r="AB66" s="4">
        <f t="shared" si="27"/>
        <v>0.39889761092150167</v>
      </c>
      <c r="AC66" s="4">
        <f t="shared" si="27"/>
        <v>0.39887164826846105</v>
      </c>
      <c r="AD66" s="4">
        <f t="shared" si="27"/>
        <v>0.39884568561542044</v>
      </c>
      <c r="AE66" s="4">
        <f t="shared" si="27"/>
        <v>0.39881972296237983</v>
      </c>
      <c r="AF66" s="4">
        <f t="shared" si="27"/>
        <v>0.39879376030933922</v>
      </c>
      <c r="AG66" s="4">
        <f t="shared" si="27"/>
        <v>0.39876779765629861</v>
      </c>
      <c r="AH66" s="4">
        <f t="shared" si="27"/>
        <v>0.39874183500325799</v>
      </c>
      <c r="AI66" s="4">
        <f t="shared" si="27"/>
        <v>0.39871587235021738</v>
      </c>
      <c r="AJ66" s="4">
        <f t="shared" si="27"/>
        <v>0.39868990969717677</v>
      </c>
      <c r="AK66" s="4">
        <f t="shared" si="27"/>
        <v>0.39866394704413616</v>
      </c>
      <c r="AL66" s="4">
        <f t="shared" si="27"/>
        <v>0.39863798439109571</v>
      </c>
      <c r="AM66" s="4">
        <f t="shared" si="27"/>
        <v>0.39860113855271451</v>
      </c>
      <c r="AN66" s="4">
        <f t="shared" si="27"/>
        <v>0.39826952600728366</v>
      </c>
      <c r="AO66" s="4">
        <f t="shared" si="27"/>
        <v>0.39826952600728366</v>
      </c>
      <c r="AP66" s="4">
        <f t="shared" si="27"/>
        <v>0.39826952600728366</v>
      </c>
    </row>
    <row r="67" spans="1:42">
      <c r="A67" s="4" t="s">
        <v>16</v>
      </c>
      <c r="C67" s="4" t="str">
        <f t="shared" si="24"/>
        <v>Space Heating</v>
      </c>
      <c r="E67" s="6">
        <f t="shared" si="22"/>
        <v>0.29899999999999999</v>
      </c>
      <c r="F67" s="6">
        <f t="shared" si="22"/>
        <v>0.29904778156996586</v>
      </c>
      <c r="G67" s="6">
        <f t="shared" si="22"/>
        <v>0.29889761092150169</v>
      </c>
      <c r="H67" s="6">
        <f t="shared" si="22"/>
        <v>0.29863798439109573</v>
      </c>
      <c r="I67" s="6">
        <f t="shared" si="22"/>
        <v>0.29826952600728368</v>
      </c>
      <c r="J67" s="4">
        <f t="shared" ref="J67:AP67" si="28">IF(J$7=-1,K67,IF(J$7=99,I67,IF(J$7=0,INDEX($E67:$I67,0,J$5),(INDEX($E67:$I67,0,J$7+1)-INDEX($E67:$I67,0,J$7))/(INDEX($E$4:$I$4,0,J$7+1)-INDEX($E$4:$I$4,0,J$7))+I67)))</f>
        <v>0.29899999999999999</v>
      </c>
      <c r="K67" s="4">
        <f t="shared" si="28"/>
        <v>0.29900597269624574</v>
      </c>
      <c r="L67" s="4">
        <f t="shared" si="28"/>
        <v>0.29901194539249148</v>
      </c>
      <c r="M67" s="4">
        <f t="shared" si="28"/>
        <v>0.29901791808873723</v>
      </c>
      <c r="N67" s="4">
        <f t="shared" si="28"/>
        <v>0.29902389078498298</v>
      </c>
      <c r="O67" s="4">
        <f t="shared" si="28"/>
        <v>0.29902986348122873</v>
      </c>
      <c r="P67" s="4">
        <f t="shared" si="28"/>
        <v>0.29903583617747448</v>
      </c>
      <c r="Q67" s="4">
        <f t="shared" si="28"/>
        <v>0.29904180887372023</v>
      </c>
      <c r="R67" s="4">
        <f t="shared" si="28"/>
        <v>0.29904778156996586</v>
      </c>
      <c r="S67" s="4">
        <f t="shared" si="28"/>
        <v>0.29903276450511945</v>
      </c>
      <c r="T67" s="4">
        <f t="shared" si="28"/>
        <v>0.29901774744027304</v>
      </c>
      <c r="U67" s="4">
        <f t="shared" si="28"/>
        <v>0.29900273037542663</v>
      </c>
      <c r="V67" s="4">
        <f t="shared" si="28"/>
        <v>0.29898771331058022</v>
      </c>
      <c r="W67" s="4">
        <f t="shared" si="28"/>
        <v>0.2989726962457338</v>
      </c>
      <c r="X67" s="4">
        <f t="shared" si="28"/>
        <v>0.29895767918088739</v>
      </c>
      <c r="Y67" s="4">
        <f t="shared" si="28"/>
        <v>0.29894266211604098</v>
      </c>
      <c r="Z67" s="4">
        <f t="shared" si="28"/>
        <v>0.29892764505119457</v>
      </c>
      <c r="AA67" s="4">
        <f t="shared" si="28"/>
        <v>0.29891262798634816</v>
      </c>
      <c r="AB67" s="4">
        <f t="shared" si="28"/>
        <v>0.29889761092150169</v>
      </c>
      <c r="AC67" s="4">
        <f t="shared" si="28"/>
        <v>0.29887164826846108</v>
      </c>
      <c r="AD67" s="4">
        <f t="shared" si="28"/>
        <v>0.29884568561542046</v>
      </c>
      <c r="AE67" s="4">
        <f t="shared" si="28"/>
        <v>0.29881972296237985</v>
      </c>
      <c r="AF67" s="4">
        <f t="shared" si="28"/>
        <v>0.29879376030933924</v>
      </c>
      <c r="AG67" s="4">
        <f t="shared" si="28"/>
        <v>0.29876779765629863</v>
      </c>
      <c r="AH67" s="4">
        <f t="shared" si="28"/>
        <v>0.29874183500325802</v>
      </c>
      <c r="AI67" s="4">
        <f t="shared" si="28"/>
        <v>0.2987158723502174</v>
      </c>
      <c r="AJ67" s="4">
        <f t="shared" si="28"/>
        <v>0.29868990969717679</v>
      </c>
      <c r="AK67" s="4">
        <f t="shared" si="28"/>
        <v>0.29866394704413618</v>
      </c>
      <c r="AL67" s="4">
        <f t="shared" si="28"/>
        <v>0.29863798439109573</v>
      </c>
      <c r="AM67" s="4">
        <f t="shared" si="28"/>
        <v>0.29860113855271453</v>
      </c>
      <c r="AN67" s="4">
        <f t="shared" si="28"/>
        <v>0.29826952600728368</v>
      </c>
      <c r="AO67" s="4">
        <f t="shared" si="28"/>
        <v>0.29826952600728368</v>
      </c>
      <c r="AP67" s="4">
        <f t="shared" si="28"/>
        <v>0.29826952600728368</v>
      </c>
    </row>
    <row r="68" spans="1:42">
      <c r="A68" s="4" t="s">
        <v>16</v>
      </c>
      <c r="C68" s="4" t="str">
        <f t="shared" si="24"/>
        <v>Water Heating Geyser</v>
      </c>
      <c r="E68" s="6">
        <f t="shared" si="22"/>
        <v>0.69799999999999995</v>
      </c>
      <c r="F68" s="6">
        <f t="shared" si="22"/>
        <v>0.69809556313993171</v>
      </c>
      <c r="G68" s="6">
        <f t="shared" si="22"/>
        <v>0.69779522184300335</v>
      </c>
      <c r="H68" s="6">
        <f t="shared" si="22"/>
        <v>0.69727596878219145</v>
      </c>
      <c r="I68" s="6">
        <f t="shared" si="22"/>
        <v>0.69653905201456734</v>
      </c>
      <c r="J68" s="4">
        <f t="shared" ref="J68:AP68" si="29">IF(J$7=-1,K68,IF(J$7=99,I68,IF(J$7=0,INDEX($E68:$I68,0,J$5),(INDEX($E68:$I68,0,J$7+1)-INDEX($E68:$I68,0,J$7))/(INDEX($E$4:$I$4,0,J$7+1)-INDEX($E$4:$I$4,0,J$7))+I68)))</f>
        <v>0.69799999999999995</v>
      </c>
      <c r="K68" s="4">
        <f t="shared" si="29"/>
        <v>0.69801194539249145</v>
      </c>
      <c r="L68" s="4">
        <f t="shared" si="29"/>
        <v>0.69802389078498295</v>
      </c>
      <c r="M68" s="4">
        <f t="shared" si="29"/>
        <v>0.69803583617747444</v>
      </c>
      <c r="N68" s="4">
        <f t="shared" si="29"/>
        <v>0.69804778156996594</v>
      </c>
      <c r="O68" s="4">
        <f t="shared" si="29"/>
        <v>0.69805972696245744</v>
      </c>
      <c r="P68" s="4">
        <f t="shared" si="29"/>
        <v>0.69807167235494894</v>
      </c>
      <c r="Q68" s="4">
        <f t="shared" si="29"/>
        <v>0.69808361774744043</v>
      </c>
      <c r="R68" s="4">
        <f t="shared" si="29"/>
        <v>0.69809556313993171</v>
      </c>
      <c r="S68" s="4">
        <f t="shared" si="29"/>
        <v>0.69806552901023888</v>
      </c>
      <c r="T68" s="4">
        <f t="shared" si="29"/>
        <v>0.69803549488054606</v>
      </c>
      <c r="U68" s="4">
        <f t="shared" si="29"/>
        <v>0.69800546075085323</v>
      </c>
      <c r="V68" s="4">
        <f t="shared" si="29"/>
        <v>0.69797542662116041</v>
      </c>
      <c r="W68" s="4">
        <f t="shared" si="29"/>
        <v>0.69794539249146759</v>
      </c>
      <c r="X68" s="4">
        <f t="shared" si="29"/>
        <v>0.69791535836177476</v>
      </c>
      <c r="Y68" s="4">
        <f t="shared" si="29"/>
        <v>0.69788532423208194</v>
      </c>
      <c r="Z68" s="4">
        <f t="shared" si="29"/>
        <v>0.69785529010238911</v>
      </c>
      <c r="AA68" s="4">
        <f t="shared" si="29"/>
        <v>0.69782525597269629</v>
      </c>
      <c r="AB68" s="4">
        <f t="shared" si="29"/>
        <v>0.69779522184300335</v>
      </c>
      <c r="AC68" s="4">
        <f t="shared" si="29"/>
        <v>0.69774329653692213</v>
      </c>
      <c r="AD68" s="4">
        <f t="shared" si="29"/>
        <v>0.69769137123084091</v>
      </c>
      <c r="AE68" s="4">
        <f t="shared" si="29"/>
        <v>0.69763944592475968</v>
      </c>
      <c r="AF68" s="4">
        <f t="shared" si="29"/>
        <v>0.69758752061867846</v>
      </c>
      <c r="AG68" s="4">
        <f t="shared" si="29"/>
        <v>0.69753559531259723</v>
      </c>
      <c r="AH68" s="4">
        <f t="shared" si="29"/>
        <v>0.69748367000651601</v>
      </c>
      <c r="AI68" s="4">
        <f t="shared" si="29"/>
        <v>0.69743174470043479</v>
      </c>
      <c r="AJ68" s="4">
        <f t="shared" si="29"/>
        <v>0.69737981939435356</v>
      </c>
      <c r="AK68" s="4">
        <f t="shared" si="29"/>
        <v>0.69732789408827234</v>
      </c>
      <c r="AL68" s="4">
        <f t="shared" si="29"/>
        <v>0.69727596878219145</v>
      </c>
      <c r="AM68" s="4">
        <f t="shared" si="29"/>
        <v>0.69720227710542904</v>
      </c>
      <c r="AN68" s="4">
        <f t="shared" si="29"/>
        <v>0.69653905201456734</v>
      </c>
      <c r="AO68" s="4">
        <f t="shared" si="29"/>
        <v>0.69653905201456734</v>
      </c>
      <c r="AP68" s="4">
        <f t="shared" si="29"/>
        <v>0.69653905201456734</v>
      </c>
    </row>
    <row r="69" spans="1:42">
      <c r="A69" s="4" t="s">
        <v>16</v>
      </c>
      <c r="C69" s="4" t="str">
        <f t="shared" si="24"/>
        <v>Water Heating</v>
      </c>
      <c r="E69" s="6">
        <f t="shared" si="22"/>
        <v>0</v>
      </c>
      <c r="F69" s="6">
        <f t="shared" si="22"/>
        <v>0</v>
      </c>
      <c r="G69" s="6">
        <f t="shared" si="22"/>
        <v>0</v>
      </c>
      <c r="H69" s="6">
        <f t="shared" si="22"/>
        <v>0</v>
      </c>
      <c r="I69" s="6">
        <f t="shared" si="22"/>
        <v>0</v>
      </c>
      <c r="J69" s="4">
        <f t="shared" ref="J69:AP69" si="30">IF(J$7=-1,K69,IF(J$7=99,I69,IF(J$7=0,INDEX($E69:$I69,0,J$5),(INDEX($E69:$I69,0,J$7+1)-INDEX($E69:$I69,0,J$7))/(INDEX($E$4:$I$4,0,J$7+1)-INDEX($E$4:$I$4,0,J$7))+I69)))</f>
        <v>0</v>
      </c>
      <c r="K69" s="4">
        <f t="shared" si="30"/>
        <v>0</v>
      </c>
      <c r="L69" s="4">
        <f t="shared" si="30"/>
        <v>0</v>
      </c>
      <c r="M69" s="4">
        <f t="shared" si="30"/>
        <v>0</v>
      </c>
      <c r="N69" s="4">
        <f t="shared" si="30"/>
        <v>0</v>
      </c>
      <c r="O69" s="4">
        <f t="shared" si="30"/>
        <v>0</v>
      </c>
      <c r="P69" s="4">
        <f t="shared" si="30"/>
        <v>0</v>
      </c>
      <c r="Q69" s="4">
        <f t="shared" si="30"/>
        <v>0</v>
      </c>
      <c r="R69" s="4">
        <f t="shared" si="30"/>
        <v>0</v>
      </c>
      <c r="S69" s="4">
        <f t="shared" si="30"/>
        <v>0</v>
      </c>
      <c r="T69" s="4">
        <f t="shared" si="30"/>
        <v>0</v>
      </c>
      <c r="U69" s="4">
        <f t="shared" si="30"/>
        <v>0</v>
      </c>
      <c r="V69" s="4">
        <f t="shared" si="30"/>
        <v>0</v>
      </c>
      <c r="W69" s="4">
        <f t="shared" si="30"/>
        <v>0</v>
      </c>
      <c r="X69" s="4">
        <f t="shared" si="30"/>
        <v>0</v>
      </c>
      <c r="Y69" s="4">
        <f t="shared" si="30"/>
        <v>0</v>
      </c>
      <c r="Z69" s="4">
        <f t="shared" si="30"/>
        <v>0</v>
      </c>
      <c r="AA69" s="4">
        <f t="shared" si="30"/>
        <v>0</v>
      </c>
      <c r="AB69" s="4">
        <f t="shared" si="30"/>
        <v>0</v>
      </c>
      <c r="AC69" s="4">
        <f t="shared" si="30"/>
        <v>0</v>
      </c>
      <c r="AD69" s="4">
        <f t="shared" si="30"/>
        <v>0</v>
      </c>
      <c r="AE69" s="4">
        <f t="shared" si="30"/>
        <v>0</v>
      </c>
      <c r="AF69" s="4">
        <f t="shared" si="30"/>
        <v>0</v>
      </c>
      <c r="AG69" s="4">
        <f t="shared" si="30"/>
        <v>0</v>
      </c>
      <c r="AH69" s="4">
        <f t="shared" si="30"/>
        <v>0</v>
      </c>
      <c r="AI69" s="4">
        <f t="shared" si="30"/>
        <v>0</v>
      </c>
      <c r="AJ69" s="4">
        <f t="shared" si="30"/>
        <v>0</v>
      </c>
      <c r="AK69" s="4">
        <f t="shared" si="30"/>
        <v>0</v>
      </c>
      <c r="AL69" s="4">
        <f t="shared" si="30"/>
        <v>0</v>
      </c>
      <c r="AM69" s="4">
        <f t="shared" si="30"/>
        <v>0</v>
      </c>
      <c r="AN69" s="4">
        <f t="shared" si="30"/>
        <v>0</v>
      </c>
      <c r="AO69" s="4">
        <f t="shared" si="30"/>
        <v>0</v>
      </c>
      <c r="AP69" s="4">
        <f t="shared" si="30"/>
        <v>0</v>
      </c>
    </row>
    <row r="70" spans="1:42">
      <c r="A70" s="4" t="s">
        <v>16</v>
      </c>
    </row>
    <row r="71" spans="1:42" s="225" customFormat="1">
      <c r="A71" s="225" t="s">
        <v>16</v>
      </c>
      <c r="C71" s="248" t="s">
        <v>580</v>
      </c>
      <c r="D71" s="249" t="s">
        <v>581</v>
      </c>
      <c r="E71" s="250"/>
      <c r="F71" s="250"/>
      <c r="G71" s="250"/>
      <c r="H71" s="250"/>
      <c r="I71" s="250"/>
      <c r="J71" s="249"/>
      <c r="K71" s="249"/>
      <c r="L71" s="249"/>
      <c r="M71" s="249"/>
      <c r="N71" s="249"/>
    </row>
    <row r="72" spans="1:42" s="225" customFormat="1">
      <c r="A72" s="225" t="s">
        <v>16</v>
      </c>
      <c r="E72" s="226"/>
      <c r="F72" s="226"/>
      <c r="G72" s="226"/>
      <c r="H72" s="226"/>
      <c r="I72" s="226"/>
    </row>
    <row r="73" spans="1:42" s="225" customFormat="1">
      <c r="A73" s="225" t="s">
        <v>16</v>
      </c>
      <c r="E73" s="226"/>
      <c r="F73" s="226"/>
      <c r="G73" s="226"/>
      <c r="H73" s="226"/>
      <c r="I73" s="226"/>
      <c r="J73" s="225">
        <f>J97</f>
        <v>2012</v>
      </c>
      <c r="K73" s="225">
        <f t="shared" ref="K73:AP73" si="31">K97</f>
        <v>2013</v>
      </c>
      <c r="L73" s="225">
        <f t="shared" si="31"/>
        <v>2014</v>
      </c>
      <c r="M73" s="225">
        <f t="shared" si="31"/>
        <v>2015</v>
      </c>
      <c r="N73" s="225">
        <f t="shared" si="31"/>
        <v>2016</v>
      </c>
      <c r="O73" s="225">
        <f t="shared" si="31"/>
        <v>2017</v>
      </c>
      <c r="P73" s="225">
        <f t="shared" si="31"/>
        <v>2018</v>
      </c>
      <c r="Q73" s="225">
        <f t="shared" si="31"/>
        <v>2019</v>
      </c>
      <c r="R73" s="225">
        <f t="shared" si="31"/>
        <v>2020</v>
      </c>
      <c r="S73" s="225">
        <f t="shared" si="31"/>
        <v>2021</v>
      </c>
      <c r="T73" s="225">
        <f t="shared" si="31"/>
        <v>2022</v>
      </c>
      <c r="U73" s="225">
        <f t="shared" si="31"/>
        <v>2023</v>
      </c>
      <c r="V73" s="225">
        <f t="shared" si="31"/>
        <v>2024</v>
      </c>
      <c r="W73" s="225">
        <f t="shared" si="31"/>
        <v>2025</v>
      </c>
      <c r="X73" s="225">
        <f t="shared" si="31"/>
        <v>2026</v>
      </c>
      <c r="Y73" s="225">
        <f t="shared" si="31"/>
        <v>2027</v>
      </c>
      <c r="Z73" s="225">
        <f t="shared" si="31"/>
        <v>2028</v>
      </c>
      <c r="AA73" s="225">
        <f t="shared" si="31"/>
        <v>2029</v>
      </c>
      <c r="AB73" s="225">
        <f t="shared" si="31"/>
        <v>2030</v>
      </c>
      <c r="AC73" s="225">
        <f t="shared" si="31"/>
        <v>2031</v>
      </c>
      <c r="AD73" s="225">
        <f t="shared" si="31"/>
        <v>2032</v>
      </c>
      <c r="AE73" s="225">
        <f t="shared" si="31"/>
        <v>2033</v>
      </c>
      <c r="AF73" s="225">
        <f t="shared" si="31"/>
        <v>2034</v>
      </c>
      <c r="AG73" s="225">
        <f t="shared" si="31"/>
        <v>2035</v>
      </c>
      <c r="AH73" s="225">
        <f t="shared" si="31"/>
        <v>2036</v>
      </c>
      <c r="AI73" s="225">
        <f t="shared" si="31"/>
        <v>2037</v>
      </c>
      <c r="AJ73" s="225">
        <f t="shared" si="31"/>
        <v>2038</v>
      </c>
      <c r="AK73" s="225">
        <f t="shared" si="31"/>
        <v>2039</v>
      </c>
      <c r="AL73" s="225">
        <f t="shared" si="31"/>
        <v>2040</v>
      </c>
      <c r="AM73" s="225">
        <f t="shared" si="31"/>
        <v>2045</v>
      </c>
      <c r="AN73" s="225">
        <f t="shared" si="31"/>
        <v>2050</v>
      </c>
      <c r="AO73" s="225">
        <f t="shared" si="31"/>
        <v>2060</v>
      </c>
      <c r="AP73" s="225">
        <f t="shared" si="31"/>
        <v>2070</v>
      </c>
    </row>
    <row r="74" spans="1:42" s="225" customFormat="1">
      <c r="A74" s="225" t="s">
        <v>16</v>
      </c>
      <c r="C74" s="225" t="s">
        <v>582</v>
      </c>
      <c r="E74" s="226"/>
      <c r="F74" s="226"/>
      <c r="G74" s="226"/>
      <c r="H74" s="226"/>
      <c r="I74" s="226"/>
      <c r="J74" s="226">
        <f>J102+J113+J123</f>
        <v>34.8479076274688</v>
      </c>
      <c r="K74" s="226">
        <f t="shared" ref="K74:AP74" si="32">K102+K113+K123</f>
        <v>34.215892256493341</v>
      </c>
      <c r="L74" s="226">
        <f t="shared" si="32"/>
        <v>33.583876885517874</v>
      </c>
      <c r="M74" s="226">
        <f t="shared" si="32"/>
        <v>32.951861514542415</v>
      </c>
      <c r="N74" s="226">
        <f t="shared" si="32"/>
        <v>32.319846143566949</v>
      </c>
      <c r="O74" s="226">
        <f t="shared" si="32"/>
        <v>31.687830772591482</v>
      </c>
      <c r="P74" s="226">
        <f t="shared" ca="1" si="32"/>
        <v>32.093297306245731</v>
      </c>
      <c r="Q74" s="226">
        <f t="shared" ca="1" si="32"/>
        <v>32.448314764737873</v>
      </c>
      <c r="R74" s="226">
        <f t="shared" ca="1" si="32"/>
        <v>32.685328259870708</v>
      </c>
      <c r="S74" s="226">
        <f t="shared" ca="1" si="32"/>
        <v>32.706188950710448</v>
      </c>
      <c r="T74" s="226">
        <f t="shared" ca="1" si="32"/>
        <v>33.105552467991117</v>
      </c>
      <c r="U74" s="226">
        <f t="shared" ca="1" si="32"/>
        <v>33.502737144655953</v>
      </c>
      <c r="V74" s="226">
        <f t="shared" ca="1" si="32"/>
        <v>33.905026564693813</v>
      </c>
      <c r="W74" s="226">
        <f t="shared" ca="1" si="32"/>
        <v>34.302570344061365</v>
      </c>
      <c r="X74" s="226">
        <f t="shared" ca="1" si="32"/>
        <v>34.743262070629441</v>
      </c>
      <c r="Y74" s="226">
        <f t="shared" ca="1" si="32"/>
        <v>35.198542976522283</v>
      </c>
      <c r="Z74" s="226">
        <f t="shared" ca="1" si="32"/>
        <v>35.654797604743884</v>
      </c>
      <c r="AA74" s="226">
        <f t="shared" ca="1" si="32"/>
        <v>36.120231745934404</v>
      </c>
      <c r="AB74" s="226">
        <f t="shared" ca="1" si="32"/>
        <v>36.589047015036044</v>
      </c>
      <c r="AC74" s="226">
        <f t="shared" ca="1" si="32"/>
        <v>37.044605238527538</v>
      </c>
      <c r="AD74" s="226">
        <f t="shared" ca="1" si="32"/>
        <v>37.50612211868296</v>
      </c>
      <c r="AE74" s="226">
        <f t="shared" ca="1" si="32"/>
        <v>37.965357555930893</v>
      </c>
      <c r="AF74" s="226">
        <f t="shared" ca="1" si="32"/>
        <v>38.435809155847011</v>
      </c>
      <c r="AG74" s="226">
        <f t="shared" ca="1" si="32"/>
        <v>38.913432428809358</v>
      </c>
      <c r="AH74" s="226">
        <f t="shared" ca="1" si="32"/>
        <v>39.407462056584549</v>
      </c>
      <c r="AI74" s="226">
        <f t="shared" ca="1" si="32"/>
        <v>39.896164713262706</v>
      </c>
      <c r="AJ74" s="226">
        <f t="shared" ca="1" si="32"/>
        <v>40.383048714648659</v>
      </c>
      <c r="AK74" s="226">
        <f t="shared" ca="1" si="32"/>
        <v>40.867503333122869</v>
      </c>
      <c r="AL74" s="226">
        <f t="shared" ca="1" si="32"/>
        <v>41.352667428400636</v>
      </c>
      <c r="AM74" s="226">
        <f t="shared" ca="1" si="32"/>
        <v>44.044427026801245</v>
      </c>
      <c r="AN74" s="226">
        <f t="shared" ca="1" si="32"/>
        <v>46.673400480217211</v>
      </c>
      <c r="AO74" s="226">
        <f t="shared" ca="1" si="32"/>
        <v>46.673400480217211</v>
      </c>
      <c r="AP74" s="226">
        <f t="shared" ca="1" si="32"/>
        <v>46.673400480217211</v>
      </c>
    </row>
    <row r="75" spans="1:42" s="225" customFormat="1">
      <c r="A75" s="225" t="s">
        <v>16</v>
      </c>
      <c r="C75" s="225" t="s">
        <v>583</v>
      </c>
      <c r="D75" s="226" t="s">
        <v>499</v>
      </c>
      <c r="E75" s="251">
        <f>IF(E78=1,0.2,IF(E78=2,0.13,IF(E78=3,0.2,0.2)))</f>
        <v>0.2</v>
      </c>
      <c r="F75" s="226"/>
      <c r="G75" s="226"/>
      <c r="H75" s="226"/>
      <c r="I75" s="226"/>
      <c r="M75" s="230">
        <v>0</v>
      </c>
      <c r="N75" s="230">
        <f>(($AB$75-$M$75)/($AB$73-$M$73))*(N$73-$M$73)</f>
        <v>1.3333333333333334E-2</v>
      </c>
      <c r="O75" s="230">
        <f t="shared" ref="O75:AA75" si="33">(($AB$75-$M$75)/($AB$73-$M$73))*(O$73-$M$73)</f>
        <v>2.6666666666666668E-2</v>
      </c>
      <c r="P75" s="230">
        <f t="shared" si="33"/>
        <v>0.04</v>
      </c>
      <c r="Q75" s="230">
        <f t="shared" si="33"/>
        <v>5.3333333333333337E-2</v>
      </c>
      <c r="R75" s="230">
        <f t="shared" si="33"/>
        <v>6.6666666666666666E-2</v>
      </c>
      <c r="S75" s="230">
        <f t="shared" si="33"/>
        <v>0.08</v>
      </c>
      <c r="T75" s="230">
        <f t="shared" si="33"/>
        <v>9.3333333333333338E-2</v>
      </c>
      <c r="U75" s="230">
        <f t="shared" si="33"/>
        <v>0.10666666666666667</v>
      </c>
      <c r="V75" s="230">
        <f t="shared" si="33"/>
        <v>0.12000000000000001</v>
      </c>
      <c r="W75" s="230">
        <f t="shared" si="33"/>
        <v>0.13333333333333333</v>
      </c>
      <c r="X75" s="230">
        <f t="shared" si="33"/>
        <v>0.14666666666666667</v>
      </c>
      <c r="Y75" s="230">
        <f t="shared" si="33"/>
        <v>0.16</v>
      </c>
      <c r="Z75" s="230">
        <f t="shared" si="33"/>
        <v>0.17333333333333334</v>
      </c>
      <c r="AA75" s="230">
        <f t="shared" si="33"/>
        <v>0.18666666666666668</v>
      </c>
      <c r="AB75" s="30">
        <f>$E$75</f>
        <v>0.2</v>
      </c>
      <c r="AC75" s="230">
        <f>AB75</f>
        <v>0.2</v>
      </c>
      <c r="AD75" s="230">
        <f t="shared" ref="AD75:AP76" si="34">AC75</f>
        <v>0.2</v>
      </c>
      <c r="AE75" s="230">
        <f t="shared" si="34"/>
        <v>0.2</v>
      </c>
      <c r="AF75" s="230">
        <f t="shared" si="34"/>
        <v>0.2</v>
      </c>
      <c r="AG75" s="230">
        <f t="shared" si="34"/>
        <v>0.2</v>
      </c>
      <c r="AH75" s="230">
        <f t="shared" si="34"/>
        <v>0.2</v>
      </c>
      <c r="AI75" s="230">
        <f t="shared" si="34"/>
        <v>0.2</v>
      </c>
      <c r="AJ75" s="230">
        <f t="shared" si="34"/>
        <v>0.2</v>
      </c>
      <c r="AK75" s="230">
        <f t="shared" si="34"/>
        <v>0.2</v>
      </c>
      <c r="AL75" s="230">
        <f t="shared" si="34"/>
        <v>0.2</v>
      </c>
      <c r="AM75" s="230">
        <f t="shared" si="34"/>
        <v>0.2</v>
      </c>
      <c r="AN75" s="230">
        <f t="shared" si="34"/>
        <v>0.2</v>
      </c>
      <c r="AO75" s="230">
        <f t="shared" si="34"/>
        <v>0.2</v>
      </c>
      <c r="AP75" s="230">
        <f t="shared" si="34"/>
        <v>0.2</v>
      </c>
    </row>
    <row r="76" spans="1:42" s="225" customFormat="1">
      <c r="A76" s="225" t="s">
        <v>16</v>
      </c>
      <c r="D76" s="225" t="s">
        <v>500</v>
      </c>
      <c r="E76" s="251">
        <f>IF(E78=1,0.2,IF(E78=2,0.13,IF(E78=3,0.2,0.2)))</f>
        <v>0.2</v>
      </c>
      <c r="F76" s="226"/>
      <c r="G76" s="226"/>
      <c r="H76" s="226"/>
      <c r="I76" s="226"/>
      <c r="M76" s="230">
        <v>0</v>
      </c>
      <c r="N76" s="230">
        <f>(($AB$76-$M$76)/($AB$73-$M$73))*(N$73-$M$73)</f>
        <v>1.3333333333333334E-2</v>
      </c>
      <c r="O76" s="230">
        <f t="shared" ref="O76:AA76" si="35">(($AB$76-$M$76)/($AB$73-$M$73))*(O$73-$M$73)</f>
        <v>2.6666666666666668E-2</v>
      </c>
      <c r="P76" s="230">
        <f t="shared" si="35"/>
        <v>0.04</v>
      </c>
      <c r="Q76" s="230">
        <f t="shared" si="35"/>
        <v>5.3333333333333337E-2</v>
      </c>
      <c r="R76" s="230">
        <f t="shared" si="35"/>
        <v>6.6666666666666666E-2</v>
      </c>
      <c r="S76" s="230">
        <f t="shared" si="35"/>
        <v>0.08</v>
      </c>
      <c r="T76" s="230">
        <f t="shared" si="35"/>
        <v>9.3333333333333338E-2</v>
      </c>
      <c r="U76" s="230">
        <f t="shared" si="35"/>
        <v>0.10666666666666667</v>
      </c>
      <c r="V76" s="230">
        <f t="shared" si="35"/>
        <v>0.12000000000000001</v>
      </c>
      <c r="W76" s="230">
        <f t="shared" si="35"/>
        <v>0.13333333333333333</v>
      </c>
      <c r="X76" s="230">
        <f t="shared" si="35"/>
        <v>0.14666666666666667</v>
      </c>
      <c r="Y76" s="230">
        <f t="shared" si="35"/>
        <v>0.16</v>
      </c>
      <c r="Z76" s="230">
        <f t="shared" si="35"/>
        <v>0.17333333333333334</v>
      </c>
      <c r="AA76" s="230">
        <f t="shared" si="35"/>
        <v>0.18666666666666668</v>
      </c>
      <c r="AB76" s="30">
        <f>$E$76</f>
        <v>0.2</v>
      </c>
      <c r="AC76" s="230">
        <f>AB76</f>
        <v>0.2</v>
      </c>
      <c r="AD76" s="230">
        <f t="shared" si="34"/>
        <v>0.2</v>
      </c>
      <c r="AE76" s="230">
        <f t="shared" si="34"/>
        <v>0.2</v>
      </c>
      <c r="AF76" s="230">
        <f t="shared" si="34"/>
        <v>0.2</v>
      </c>
      <c r="AG76" s="230">
        <f t="shared" si="34"/>
        <v>0.2</v>
      </c>
      <c r="AH76" s="230">
        <f t="shared" si="34"/>
        <v>0.2</v>
      </c>
      <c r="AI76" s="230">
        <f t="shared" si="34"/>
        <v>0.2</v>
      </c>
      <c r="AJ76" s="230">
        <f t="shared" si="34"/>
        <v>0.2</v>
      </c>
      <c r="AK76" s="230">
        <f t="shared" si="34"/>
        <v>0.2</v>
      </c>
      <c r="AL76" s="230">
        <f t="shared" si="34"/>
        <v>0.2</v>
      </c>
      <c r="AM76" s="230">
        <f t="shared" si="34"/>
        <v>0.2</v>
      </c>
      <c r="AN76" s="230">
        <f t="shared" si="34"/>
        <v>0.2</v>
      </c>
      <c r="AO76" s="230">
        <f t="shared" si="34"/>
        <v>0.2</v>
      </c>
      <c r="AP76" s="230">
        <f t="shared" si="34"/>
        <v>0.2</v>
      </c>
    </row>
    <row r="77" spans="1:42" s="225" customFormat="1">
      <c r="A77" s="225" t="s">
        <v>16</v>
      </c>
      <c r="C77" s="225" t="s">
        <v>584</v>
      </c>
      <c r="E77" s="226"/>
      <c r="F77" s="226"/>
      <c r="G77" s="226"/>
      <c r="H77" s="226"/>
      <c r="I77" s="226"/>
      <c r="J77" s="226">
        <f>J$74</f>
        <v>34.8479076274688</v>
      </c>
      <c r="K77" s="226">
        <f>K$74</f>
        <v>34.215892256493341</v>
      </c>
      <c r="L77" s="226">
        <f>L$74</f>
        <v>33.583876885517874</v>
      </c>
      <c r="M77" s="226">
        <f>M$74</f>
        <v>32.951861514542415</v>
      </c>
      <c r="N77" s="226">
        <f>(($M$74*(1-N$75))+((N74-$M$74)*(1-N$76)))</f>
        <v>31.888914861652726</v>
      </c>
      <c r="O77" s="226">
        <f t="shared" ref="O77:AP77" si="36">(($M$74*(1-O$75))+((O74-$M$74)*(1-O$76)))</f>
        <v>30.842821951989045</v>
      </c>
      <c r="P77" s="226">
        <f t="shared" ca="1" si="36"/>
        <v>30.809565413995898</v>
      </c>
      <c r="Q77" s="226">
        <f t="shared" ca="1" si="36"/>
        <v>30.717737977285186</v>
      </c>
      <c r="R77" s="226">
        <f t="shared" ca="1" si="36"/>
        <v>30.50630637587933</v>
      </c>
      <c r="S77" s="226">
        <f t="shared" ca="1" si="36"/>
        <v>30.089693834653612</v>
      </c>
      <c r="T77" s="226">
        <f t="shared" ca="1" si="36"/>
        <v>30.015700904311945</v>
      </c>
      <c r="U77" s="226">
        <f t="shared" ca="1" si="36"/>
        <v>29.929111849225986</v>
      </c>
      <c r="V77" s="226">
        <f t="shared" ca="1" si="36"/>
        <v>29.836423376930554</v>
      </c>
      <c r="W77" s="226">
        <f t="shared" ca="1" si="36"/>
        <v>29.728894298186518</v>
      </c>
      <c r="X77" s="226">
        <f t="shared" ca="1" si="36"/>
        <v>29.647583633603787</v>
      </c>
      <c r="Y77" s="226">
        <f ca="1">(($M$74*(1-Y$75))+((Y74-$M$74)*(1-Y$76)))</f>
        <v>29.566776100278719</v>
      </c>
      <c r="Z77" s="226">
        <f t="shared" ca="1" si="36"/>
        <v>29.474632686588276</v>
      </c>
      <c r="AA77" s="226">
        <f t="shared" ca="1" si="36"/>
        <v>29.377788486693316</v>
      </c>
      <c r="AB77" s="226">
        <f t="shared" ca="1" si="36"/>
        <v>29.271237612028838</v>
      </c>
      <c r="AC77" s="226">
        <f t="shared" ca="1" si="36"/>
        <v>29.635684190822033</v>
      </c>
      <c r="AD77" s="226">
        <f t="shared" ca="1" si="36"/>
        <v>30.004897694946372</v>
      </c>
      <c r="AE77" s="226">
        <f t="shared" ca="1" si="36"/>
        <v>30.372286044744719</v>
      </c>
      <c r="AF77" s="226">
        <f t="shared" ca="1" si="36"/>
        <v>30.748647324677613</v>
      </c>
      <c r="AG77" s="226">
        <f t="shared" ca="1" si="36"/>
        <v>31.13074594304749</v>
      </c>
      <c r="AH77" s="226">
        <f t="shared" ca="1" si="36"/>
        <v>31.525969645267644</v>
      </c>
      <c r="AI77" s="226">
        <f t="shared" ca="1" si="36"/>
        <v>31.916931770610169</v>
      </c>
      <c r="AJ77" s="226">
        <f t="shared" ca="1" si="36"/>
        <v>32.306438971718933</v>
      </c>
      <c r="AK77" s="226">
        <f t="shared" ca="1" si="36"/>
        <v>32.694002666498299</v>
      </c>
      <c r="AL77" s="226">
        <f t="shared" ca="1" si="36"/>
        <v>33.08213394272051</v>
      </c>
      <c r="AM77" s="226">
        <f t="shared" ca="1" si="36"/>
        <v>35.235541621441001</v>
      </c>
      <c r="AN77" s="226">
        <f t="shared" ca="1" si="36"/>
        <v>37.338720384173769</v>
      </c>
      <c r="AO77" s="226">
        <f t="shared" ca="1" si="36"/>
        <v>37.338720384173769</v>
      </c>
      <c r="AP77" s="226">
        <f t="shared" ca="1" si="36"/>
        <v>37.338720384173769</v>
      </c>
    </row>
    <row r="78" spans="1:42" s="225" customFormat="1">
      <c r="A78" s="225" t="s">
        <v>16</v>
      </c>
      <c r="D78" s="225" t="s">
        <v>585</v>
      </c>
      <c r="E78" s="252">
        <f>DriversGams!$K$162</f>
        <v>-1</v>
      </c>
      <c r="F78" s="225" t="s">
        <v>586</v>
      </c>
      <c r="H78" s="100">
        <v>1</v>
      </c>
      <c r="I78" s="100" t="s">
        <v>653</v>
      </c>
      <c r="J78" s="41"/>
    </row>
    <row r="79" spans="1:42" s="225" customFormat="1">
      <c r="A79" s="225" t="s">
        <v>16</v>
      </c>
      <c r="B79" s="25"/>
      <c r="D79" s="226"/>
      <c r="H79" s="100">
        <v>2</v>
      </c>
      <c r="I79" s="100" t="s">
        <v>654</v>
      </c>
      <c r="J79" s="41"/>
      <c r="O79" s="5"/>
    </row>
    <row r="80" spans="1:42" s="225" customFormat="1">
      <c r="A80" s="225" t="s">
        <v>16</v>
      </c>
      <c r="B80" s="25"/>
      <c r="D80" s="226"/>
      <c r="H80" s="112">
        <v>3</v>
      </c>
      <c r="I80" s="217" t="s">
        <v>653</v>
      </c>
      <c r="J80" s="253">
        <f>J73</f>
        <v>2012</v>
      </c>
      <c r="K80" s="254">
        <f t="shared" ref="K80:AP80" si="37">K73</f>
        <v>2013</v>
      </c>
      <c r="L80" s="254">
        <f t="shared" si="37"/>
        <v>2014</v>
      </c>
      <c r="M80" s="254">
        <f t="shared" si="37"/>
        <v>2015</v>
      </c>
      <c r="N80" s="254">
        <f t="shared" si="37"/>
        <v>2016</v>
      </c>
      <c r="O80" s="254">
        <f t="shared" si="37"/>
        <v>2017</v>
      </c>
      <c r="P80" s="254">
        <f t="shared" si="37"/>
        <v>2018</v>
      </c>
      <c r="Q80" s="254">
        <f t="shared" si="37"/>
        <v>2019</v>
      </c>
      <c r="R80" s="254">
        <f t="shared" si="37"/>
        <v>2020</v>
      </c>
      <c r="S80" s="254">
        <f t="shared" si="37"/>
        <v>2021</v>
      </c>
      <c r="T80" s="254">
        <f t="shared" si="37"/>
        <v>2022</v>
      </c>
      <c r="U80" s="254">
        <f t="shared" si="37"/>
        <v>2023</v>
      </c>
      <c r="V80" s="254">
        <f t="shared" si="37"/>
        <v>2024</v>
      </c>
      <c r="W80" s="254">
        <f t="shared" si="37"/>
        <v>2025</v>
      </c>
      <c r="X80" s="254">
        <f t="shared" si="37"/>
        <v>2026</v>
      </c>
      <c r="Y80" s="254">
        <f t="shared" si="37"/>
        <v>2027</v>
      </c>
      <c r="Z80" s="254">
        <f t="shared" si="37"/>
        <v>2028</v>
      </c>
      <c r="AA80" s="254">
        <f t="shared" si="37"/>
        <v>2029</v>
      </c>
      <c r="AB80" s="254">
        <f t="shared" si="37"/>
        <v>2030</v>
      </c>
      <c r="AC80" s="254">
        <f t="shared" si="37"/>
        <v>2031</v>
      </c>
      <c r="AD80" s="254">
        <f t="shared" si="37"/>
        <v>2032</v>
      </c>
      <c r="AE80" s="254">
        <f t="shared" si="37"/>
        <v>2033</v>
      </c>
      <c r="AF80" s="254">
        <f t="shared" si="37"/>
        <v>2034</v>
      </c>
      <c r="AG80" s="254">
        <f t="shared" si="37"/>
        <v>2035</v>
      </c>
      <c r="AH80" s="254">
        <f t="shared" si="37"/>
        <v>2036</v>
      </c>
      <c r="AI80" s="254">
        <f t="shared" si="37"/>
        <v>2037</v>
      </c>
      <c r="AJ80" s="254">
        <f t="shared" si="37"/>
        <v>2038</v>
      </c>
      <c r="AK80" s="254">
        <f t="shared" si="37"/>
        <v>2039</v>
      </c>
      <c r="AL80" s="254">
        <f t="shared" si="37"/>
        <v>2040</v>
      </c>
      <c r="AM80" s="254">
        <f t="shared" si="37"/>
        <v>2045</v>
      </c>
      <c r="AN80" s="254">
        <f t="shared" si="37"/>
        <v>2050</v>
      </c>
      <c r="AO80" s="254">
        <f t="shared" si="37"/>
        <v>2060</v>
      </c>
      <c r="AP80" s="254">
        <f t="shared" si="37"/>
        <v>2070</v>
      </c>
    </row>
    <row r="81" spans="1:54" s="225" customFormat="1">
      <c r="A81" s="225" t="s">
        <v>16</v>
      </c>
      <c r="B81" s="25"/>
      <c r="C81" s="225" t="s">
        <v>587</v>
      </c>
      <c r="D81" s="226" t="str">
        <f>D102</f>
        <v>RLEH</v>
      </c>
      <c r="J81" s="43">
        <f>J102</f>
        <v>14.601022992423397</v>
      </c>
      <c r="K81" s="43">
        <f t="shared" ref="K81:O81" si="38">K102</f>
        <v>13.891192798312483</v>
      </c>
      <c r="L81" s="43">
        <f t="shared" si="38"/>
        <v>13.181362604201567</v>
      </c>
      <c r="M81" s="43">
        <f t="shared" si="38"/>
        <v>12.471532410090653</v>
      </c>
      <c r="N81" s="43">
        <f t="shared" si="38"/>
        <v>11.761702215979739</v>
      </c>
      <c r="O81" s="43">
        <f t="shared" si="38"/>
        <v>11.051872021868823</v>
      </c>
      <c r="P81" s="24">
        <f t="shared" ref="P81:AP81" ca="1" si="39">OFFSET(P$33,$BB81,$J$96)/OFFSET(O$33,$BB81,$J$96)*O81</f>
        <v>10.999215391470331</v>
      </c>
      <c r="Q81" s="24">
        <f t="shared" ca="1" si="39"/>
        <v>11.045325237320505</v>
      </c>
      <c r="R81" s="24">
        <f t="shared" ca="1" si="39"/>
        <v>11.461615549823774</v>
      </c>
      <c r="S81" s="24">
        <f t="shared" ca="1" si="39"/>
        <v>11.912898617164251</v>
      </c>
      <c r="T81" s="24">
        <f t="shared" ca="1" si="39"/>
        <v>11.866511202963345</v>
      </c>
      <c r="U81" s="24">
        <f t="shared" ca="1" si="39"/>
        <v>11.820008932893167</v>
      </c>
      <c r="V81" s="24">
        <f t="shared" ca="1" si="39"/>
        <v>11.769769061410539</v>
      </c>
      <c r="W81" s="24">
        <f t="shared" ca="1" si="39"/>
        <v>11.728052452559895</v>
      </c>
      <c r="X81" s="24">
        <f t="shared" ca="1" si="39"/>
        <v>11.649830819926674</v>
      </c>
      <c r="Y81" s="24">
        <f t="shared" ca="1" si="39"/>
        <v>11.553385389369481</v>
      </c>
      <c r="Z81" s="24">
        <f t="shared" ca="1" si="39"/>
        <v>11.453566067652522</v>
      </c>
      <c r="AA81" s="24">
        <f t="shared" ca="1" si="39"/>
        <v>11.331479064281089</v>
      </c>
      <c r="AB81" s="24">
        <f t="shared" ca="1" si="39"/>
        <v>11.216326484016754</v>
      </c>
      <c r="AC81" s="24">
        <f t="shared" ca="1" si="39"/>
        <v>11.086529780420657</v>
      </c>
      <c r="AD81" s="24">
        <f t="shared" ca="1" si="39"/>
        <v>10.960346251045305</v>
      </c>
      <c r="AE81" s="24">
        <f t="shared" ca="1" si="39"/>
        <v>10.828908065650909</v>
      </c>
      <c r="AF81" s="24">
        <f t="shared" ca="1" si="39"/>
        <v>10.677963525125708</v>
      </c>
      <c r="AG81" s="24">
        <f t="shared" ca="1" si="39"/>
        <v>10.513092710451676</v>
      </c>
      <c r="AH81" s="24">
        <f t="shared" ca="1" si="39"/>
        <v>10.351074149864479</v>
      </c>
      <c r="AI81" s="24">
        <f t="shared" ca="1" si="39"/>
        <v>10.195300877168771</v>
      </c>
      <c r="AJ81" s="24">
        <f t="shared" ca="1" si="39"/>
        <v>10.045404396450651</v>
      </c>
      <c r="AK81" s="24">
        <f t="shared" ca="1" si="39"/>
        <v>9.8995900847527842</v>
      </c>
      <c r="AL81" s="24">
        <f t="shared" ca="1" si="39"/>
        <v>9.7504640954910062</v>
      </c>
      <c r="AM81" s="24">
        <f t="shared" ca="1" si="39"/>
        <v>9.0080022569094371</v>
      </c>
      <c r="AN81" s="24">
        <f t="shared" ca="1" si="39"/>
        <v>8.2530881278346531</v>
      </c>
      <c r="AO81" s="24">
        <f t="shared" ca="1" si="39"/>
        <v>8.2530881278346531</v>
      </c>
      <c r="AP81" s="24">
        <f t="shared" ca="1" si="39"/>
        <v>8.2530881278346531</v>
      </c>
      <c r="BB81" s="225">
        <v>1</v>
      </c>
    </row>
    <row r="82" spans="1:54" s="225" customFormat="1">
      <c r="A82" s="225" t="s">
        <v>16</v>
      </c>
      <c r="B82" s="25"/>
      <c r="D82" s="226" t="str">
        <f>D113</f>
        <v>RMEH</v>
      </c>
      <c r="H82" s="225" t="s">
        <v>661</v>
      </c>
      <c r="J82" s="43">
        <f>J113</f>
        <v>13.162628870539544</v>
      </c>
      <c r="K82" s="43">
        <f t="shared" ref="K82:O82" si="40">K113</f>
        <v>13.094413910887344</v>
      </c>
      <c r="L82" s="43">
        <f t="shared" si="40"/>
        <v>13.026198951235143</v>
      </c>
      <c r="M82" s="43">
        <f t="shared" si="40"/>
        <v>12.957983991582941</v>
      </c>
      <c r="N82" s="43">
        <f t="shared" si="40"/>
        <v>12.88976903193074</v>
      </c>
      <c r="O82" s="43">
        <f t="shared" si="40"/>
        <v>12.821554072278539</v>
      </c>
      <c r="P82" s="24">
        <f t="shared" ref="P82:AP82" ca="1" si="41">OFFSET(P$33,$BB82,$J$96)/OFFSET(O$33,$BB82,$J$96)*O82</f>
        <v>13.083281286912216</v>
      </c>
      <c r="Q82" s="24">
        <f t="shared" ca="1" si="41"/>
        <v>13.334217649368343</v>
      </c>
      <c r="R82" s="24">
        <f t="shared" ca="1" si="41"/>
        <v>13.954491187106205</v>
      </c>
      <c r="S82" s="24">
        <f t="shared" ca="1" si="41"/>
        <v>13.349930494989721</v>
      </c>
      <c r="T82" s="24">
        <f t="shared" ca="1" si="41"/>
        <v>13.570575698487362</v>
      </c>
      <c r="U82" s="24">
        <f t="shared" ca="1" si="41"/>
        <v>13.773989659772628</v>
      </c>
      <c r="V82" s="24">
        <f t="shared" ca="1" si="41"/>
        <v>13.99718542833042</v>
      </c>
      <c r="W82" s="24">
        <f t="shared" ca="1" si="41"/>
        <v>14.216764342087199</v>
      </c>
      <c r="X82" s="24">
        <f t="shared" ca="1" si="41"/>
        <v>14.418915816319284</v>
      </c>
      <c r="Y82" s="24">
        <f t="shared" ca="1" si="41"/>
        <v>14.659317236135669</v>
      </c>
      <c r="Z82" s="24">
        <f t="shared" ca="1" si="41"/>
        <v>14.891921945366848</v>
      </c>
      <c r="AA82" s="24">
        <f t="shared" ca="1" si="41"/>
        <v>15.114605894849024</v>
      </c>
      <c r="AB82" s="24">
        <f t="shared" ca="1" si="41"/>
        <v>15.377928278935034</v>
      </c>
      <c r="AC82" s="24">
        <f t="shared" ca="1" si="41"/>
        <v>15.594291262833364</v>
      </c>
      <c r="AD82" s="24">
        <f t="shared" ca="1" si="41"/>
        <v>15.857084767207906</v>
      </c>
      <c r="AE82" s="24">
        <f t="shared" ca="1" si="41"/>
        <v>16.090772826815808</v>
      </c>
      <c r="AF82" s="24">
        <f t="shared" ca="1" si="41"/>
        <v>16.334876404612473</v>
      </c>
      <c r="AG82" s="24">
        <f t="shared" ca="1" si="41"/>
        <v>16.581385532064534</v>
      </c>
      <c r="AH82" s="24">
        <f t="shared" ca="1" si="41"/>
        <v>16.847949436962772</v>
      </c>
      <c r="AI82" s="24">
        <f t="shared" ca="1" si="41"/>
        <v>17.10451580925066</v>
      </c>
      <c r="AJ82" s="24">
        <f t="shared" ca="1" si="41"/>
        <v>17.367334904578989</v>
      </c>
      <c r="AK82" s="24">
        <f t="shared" ca="1" si="41"/>
        <v>17.62369654923663</v>
      </c>
      <c r="AL82" s="24">
        <f t="shared" ca="1" si="41"/>
        <v>17.878420372852311</v>
      </c>
      <c r="AM82" s="24">
        <f t="shared" ca="1" si="41"/>
        <v>19.180155418817819</v>
      </c>
      <c r="AN82" s="24">
        <f t="shared" ca="1" si="41"/>
        <v>20.514075354321587</v>
      </c>
      <c r="AO82" s="24">
        <f t="shared" ca="1" si="41"/>
        <v>20.514075354321587</v>
      </c>
      <c r="AP82" s="24">
        <f t="shared" ca="1" si="41"/>
        <v>20.514075354321587</v>
      </c>
      <c r="BB82" s="225">
        <v>2</v>
      </c>
    </row>
    <row r="83" spans="1:54" s="225" customFormat="1">
      <c r="A83" s="225" t="s">
        <v>16</v>
      </c>
      <c r="B83" s="25"/>
      <c r="D83" s="226" t="str">
        <f>D123</f>
        <v>RHEH</v>
      </c>
      <c r="H83" s="225" t="s">
        <v>662</v>
      </c>
      <c r="J83" s="43">
        <f>J123</f>
        <v>7.0842557645058601</v>
      </c>
      <c r="K83" s="43">
        <f t="shared" ref="K83:O83" si="42">K123</f>
        <v>7.2302855472935121</v>
      </c>
      <c r="L83" s="43">
        <f t="shared" si="42"/>
        <v>7.3763153300811641</v>
      </c>
      <c r="M83" s="43">
        <f t="shared" si="42"/>
        <v>7.5223451128688161</v>
      </c>
      <c r="N83" s="43">
        <f t="shared" si="42"/>
        <v>7.6683748956564681</v>
      </c>
      <c r="O83" s="43">
        <f t="shared" si="42"/>
        <v>7.8144046784441201</v>
      </c>
      <c r="P83" s="24">
        <f t="shared" ref="P83:AP83" ca="1" si="43">OFFSET(P$33,$BB83,$J$96)/OFFSET(O$33,$BB83,$J$96)*O83</f>
        <v>8.0108006278631798</v>
      </c>
      <c r="Q83" s="24">
        <f t="shared" ca="1" si="43"/>
        <v>8.0687718780490307</v>
      </c>
      <c r="R83" s="24">
        <f t="shared" ca="1" si="43"/>
        <v>7.2692215229407262</v>
      </c>
      <c r="S83" s="24">
        <f t="shared" ca="1" si="43"/>
        <v>7.4433598385564741</v>
      </c>
      <c r="T83" s="24">
        <f t="shared" ca="1" si="43"/>
        <v>7.6684655665404149</v>
      </c>
      <c r="U83" s="24">
        <f t="shared" ca="1" si="43"/>
        <v>7.9087385519901581</v>
      </c>
      <c r="V83" s="24">
        <f t="shared" ca="1" si="43"/>
        <v>8.1380720749528486</v>
      </c>
      <c r="W83" s="24">
        <f t="shared" ca="1" si="43"/>
        <v>8.3577535494142676</v>
      </c>
      <c r="X83" s="24">
        <f t="shared" ca="1" si="43"/>
        <v>8.6745154343834869</v>
      </c>
      <c r="Y83" s="24">
        <f t="shared" ca="1" si="43"/>
        <v>8.9858403510171332</v>
      </c>
      <c r="Z83" s="24">
        <f t="shared" ca="1" si="43"/>
        <v>9.3093095917245154</v>
      </c>
      <c r="AA83" s="24">
        <f t="shared" ca="1" si="43"/>
        <v>9.6741467868042914</v>
      </c>
      <c r="AB83" s="24">
        <f t="shared" ca="1" si="43"/>
        <v>9.9947922520842578</v>
      </c>
      <c r="AC83" s="24">
        <f t="shared" ca="1" si="43"/>
        <v>10.363784195273519</v>
      </c>
      <c r="AD83" s="24">
        <f t="shared" ca="1" si="43"/>
        <v>10.688691100429752</v>
      </c>
      <c r="AE83" s="24">
        <f t="shared" ca="1" si="43"/>
        <v>11.045676663464176</v>
      </c>
      <c r="AF83" s="24">
        <f t="shared" ca="1" si="43"/>
        <v>11.422969226108833</v>
      </c>
      <c r="AG83" s="24">
        <f t="shared" ca="1" si="43"/>
        <v>11.81895418629315</v>
      </c>
      <c r="AH83" s="24">
        <f t="shared" ca="1" si="43"/>
        <v>12.208438469757301</v>
      </c>
      <c r="AI83" s="24">
        <f t="shared" ca="1" si="43"/>
        <v>12.596348026843271</v>
      </c>
      <c r="AJ83" s="24">
        <f t="shared" ca="1" si="43"/>
        <v>12.97030941361902</v>
      </c>
      <c r="AK83" s="24">
        <f t="shared" ca="1" si="43"/>
        <v>13.344216699133456</v>
      </c>
      <c r="AL83" s="24">
        <f t="shared" ca="1" si="43"/>
        <v>13.723782960057317</v>
      </c>
      <c r="AM83" s="24">
        <f t="shared" ca="1" si="43"/>
        <v>15.856269351073989</v>
      </c>
      <c r="AN83" s="24">
        <f t="shared" ca="1" si="43"/>
        <v>17.906236998060969</v>
      </c>
      <c r="AO83" s="24">
        <f t="shared" ca="1" si="43"/>
        <v>17.906236998060969</v>
      </c>
      <c r="AP83" s="24">
        <f t="shared" ca="1" si="43"/>
        <v>17.906236998060969</v>
      </c>
      <c r="BB83" s="225">
        <v>3</v>
      </c>
    </row>
    <row r="84" spans="1:54" s="225" customFormat="1">
      <c r="A84" s="225" t="s">
        <v>16</v>
      </c>
      <c r="B84" s="25"/>
      <c r="D84" s="226" t="s">
        <v>378</v>
      </c>
      <c r="J84" s="43">
        <f>J117</f>
        <v>5.8181446629629967</v>
      </c>
      <c r="K84" s="43">
        <f t="shared" ref="K84:O84" si="44">K117</f>
        <v>6.4084282360981142</v>
      </c>
      <c r="L84" s="43">
        <f t="shared" si="44"/>
        <v>6.9987118092332326</v>
      </c>
      <c r="M84" s="43">
        <f t="shared" si="44"/>
        <v>7.58899538236835</v>
      </c>
      <c r="N84" s="43">
        <f t="shared" si="44"/>
        <v>8.1792789555034684</v>
      </c>
      <c r="O84" s="43">
        <f t="shared" si="44"/>
        <v>8.7695625286385859</v>
      </c>
      <c r="P84" s="24">
        <f ca="1">OFFSET(P$33,$BB117,$J$96)/OFFSET(O$33,$BB117,$J$96)*O84</f>
        <v>8.948576177158694</v>
      </c>
      <c r="Q84" s="24">
        <f t="shared" ref="Q84:AP84" ca="1" si="45">OFFSET(Q$33,$BB117,$J$96)/OFFSET(P$33,$BB117,$J$96)*P84</f>
        <v>9.1202092029886934</v>
      </c>
      <c r="R84" s="24">
        <f t="shared" ca="1" si="45"/>
        <v>9.5444578972879945</v>
      </c>
      <c r="S84" s="24">
        <f t="shared" ca="1" si="45"/>
        <v>9.1309563231429856</v>
      </c>
      <c r="T84" s="24">
        <f t="shared" ca="1" si="45"/>
        <v>9.2818710950816179</v>
      </c>
      <c r="U84" s="24">
        <f t="shared" ca="1" si="45"/>
        <v>9.4210002086534335</v>
      </c>
      <c r="V84" s="24">
        <f t="shared" ca="1" si="45"/>
        <v>9.5736594914097282</v>
      </c>
      <c r="W84" s="24">
        <f t="shared" ca="1" si="45"/>
        <v>9.7238449528058606</v>
      </c>
      <c r="X84" s="24">
        <f t="shared" ca="1" si="45"/>
        <v>9.8621105626953565</v>
      </c>
      <c r="Y84" s="24">
        <f t="shared" ca="1" si="45"/>
        <v>10.026538000365447</v>
      </c>
      <c r="Z84" s="24">
        <f t="shared" ca="1" si="45"/>
        <v>10.185632719348769</v>
      </c>
      <c r="AA84" s="24">
        <f t="shared" ca="1" si="45"/>
        <v>10.337941933044664</v>
      </c>
      <c r="AB84" s="24">
        <f t="shared" ca="1" si="45"/>
        <v>10.518046630136354</v>
      </c>
      <c r="AC84" s="24">
        <f t="shared" ca="1" si="45"/>
        <v>10.666032490936303</v>
      </c>
      <c r="AD84" s="24">
        <f t="shared" ca="1" si="45"/>
        <v>10.845775449998913</v>
      </c>
      <c r="AE84" s="24">
        <f t="shared" ca="1" si="45"/>
        <v>11.005611148493418</v>
      </c>
      <c r="AF84" s="24">
        <f t="shared" ca="1" si="45"/>
        <v>11.17257075236707</v>
      </c>
      <c r="AG84" s="24">
        <f t="shared" ca="1" si="45"/>
        <v>11.341175680824607</v>
      </c>
      <c r="AH84" s="24">
        <f t="shared" ca="1" si="45"/>
        <v>11.523497481965498</v>
      </c>
      <c r="AI84" s="24">
        <f t="shared" ca="1" si="45"/>
        <v>11.698981267459901</v>
      </c>
      <c r="AJ84" s="24">
        <f t="shared" ca="1" si="45"/>
        <v>11.878741729975534</v>
      </c>
      <c r="AK84" s="24">
        <f t="shared" ca="1" si="45"/>
        <v>12.054085487845775</v>
      </c>
      <c r="AL84" s="24">
        <f t="shared" ca="1" si="45"/>
        <v>12.228309024722739</v>
      </c>
      <c r="AM84" s="24">
        <f t="shared" ca="1" si="45"/>
        <v>13.118657169492215</v>
      </c>
      <c r="AN84" s="24">
        <f t="shared" ca="1" si="45"/>
        <v>14.031018823676542</v>
      </c>
      <c r="AO84" s="24">
        <f t="shared" ca="1" si="45"/>
        <v>14.031018823676542</v>
      </c>
      <c r="AP84" s="24">
        <f t="shared" ca="1" si="45"/>
        <v>14.031018823676542</v>
      </c>
      <c r="BB84" s="225">
        <v>4</v>
      </c>
    </row>
    <row r="85" spans="1:54" s="225" customFormat="1">
      <c r="A85" s="225" t="s">
        <v>16</v>
      </c>
      <c r="B85" s="25"/>
      <c r="D85" s="226" t="s">
        <v>366</v>
      </c>
      <c r="J85" s="43">
        <f>J127</f>
        <v>11.690334156193106</v>
      </c>
      <c r="K85" s="43">
        <f t="shared" ref="K85:O85" si="46">K127</f>
        <v>12.00003056398719</v>
      </c>
      <c r="L85" s="43">
        <f t="shared" si="46"/>
        <v>12.309726971781274</v>
      </c>
      <c r="M85" s="43">
        <f t="shared" si="46"/>
        <v>12.619423379575359</v>
      </c>
      <c r="N85" s="43">
        <f t="shared" si="46"/>
        <v>12.929119787369443</v>
      </c>
      <c r="O85" s="43">
        <f t="shared" si="46"/>
        <v>13.238816195163526</v>
      </c>
      <c r="P85" s="24">
        <f ca="1">OFFSET(P$33,$BB127,$J$96)/OFFSET(O$33,$BB127,$J$96)*O85</f>
        <v>13.571541461236034</v>
      </c>
      <c r="Q85" s="24">
        <f t="shared" ref="Q85:AP85" ca="1" si="47">OFFSET(Q$33,$BB127,$J$96)/OFFSET(P$33,$BB127,$J$96)*P85</f>
        <v>13.669753770093209</v>
      </c>
      <c r="R85" s="24">
        <f t="shared" ca="1" si="47"/>
        <v>12.31519118655369</v>
      </c>
      <c r="S85" s="24">
        <f t="shared" ca="1" si="47"/>
        <v>12.610208561240162</v>
      </c>
      <c r="T85" s="24">
        <f t="shared" ca="1" si="47"/>
        <v>12.991572654845207</v>
      </c>
      <c r="U85" s="24">
        <f t="shared" ca="1" si="47"/>
        <v>13.398632440193525</v>
      </c>
      <c r="V85" s="24">
        <f t="shared" ca="1" si="47"/>
        <v>13.787159075660382</v>
      </c>
      <c r="W85" s="24">
        <f t="shared" ca="1" si="47"/>
        <v>14.159333640653129</v>
      </c>
      <c r="X85" s="24">
        <f t="shared" ca="1" si="47"/>
        <v>14.695977511210389</v>
      </c>
      <c r="Y85" s="24">
        <f t="shared" ca="1" si="47"/>
        <v>15.223410312285656</v>
      </c>
      <c r="Z85" s="24">
        <f t="shared" ca="1" si="47"/>
        <v>15.771417486053727</v>
      </c>
      <c r="AA85" s="24">
        <f t="shared" ca="1" si="47"/>
        <v>16.389508404757191</v>
      </c>
      <c r="AB85" s="24">
        <f t="shared" ca="1" si="47"/>
        <v>16.932731664023994</v>
      </c>
      <c r="AC85" s="24">
        <f t="shared" ca="1" si="47"/>
        <v>17.557861371838342</v>
      </c>
      <c r="AD85" s="24">
        <f t="shared" ca="1" si="47"/>
        <v>18.10830417265311</v>
      </c>
      <c r="AE85" s="24">
        <f t="shared" ca="1" si="47"/>
        <v>18.713093206215252</v>
      </c>
      <c r="AF85" s="24">
        <f t="shared" ca="1" si="47"/>
        <v>19.352285453634071</v>
      </c>
      <c r="AG85" s="24">
        <f t="shared" ca="1" si="47"/>
        <v>20.023145528028515</v>
      </c>
      <c r="AH85" s="24">
        <f t="shared" ca="1" si="47"/>
        <v>20.682992445594795</v>
      </c>
      <c r="AI85" s="24">
        <f t="shared" ca="1" si="47"/>
        <v>21.340171531901209</v>
      </c>
      <c r="AJ85" s="24">
        <f t="shared" ca="1" si="47"/>
        <v>21.973720249600625</v>
      </c>
      <c r="AK85" s="24">
        <f t="shared" ca="1" si="47"/>
        <v>22.607177311353887</v>
      </c>
      <c r="AL85" s="24">
        <f t="shared" ca="1" si="47"/>
        <v>23.250221557080994</v>
      </c>
      <c r="AM85" s="24">
        <f t="shared" ca="1" si="47"/>
        <v>26.862984976824745</v>
      </c>
      <c r="AN85" s="24">
        <f t="shared" ca="1" si="47"/>
        <v>30.335948817481128</v>
      </c>
      <c r="AO85" s="24">
        <f t="shared" ca="1" si="47"/>
        <v>30.335948817481128</v>
      </c>
      <c r="AP85" s="24">
        <f t="shared" ca="1" si="47"/>
        <v>30.335948817481128</v>
      </c>
      <c r="BB85" s="225">
        <v>5</v>
      </c>
    </row>
    <row r="86" spans="1:54" s="225" customFormat="1">
      <c r="A86" s="225" t="s">
        <v>16</v>
      </c>
      <c r="B86" s="25"/>
      <c r="D86" s="226"/>
      <c r="J86" s="13"/>
      <c r="K86" s="13"/>
      <c r="L86" s="13"/>
      <c r="M86" s="13"/>
      <c r="N86" s="13"/>
      <c r="O86" s="13"/>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s="225" customFormat="1">
      <c r="A87" s="225" t="s">
        <v>16</v>
      </c>
      <c r="B87" s="25"/>
      <c r="D87" s="226"/>
      <c r="J87" s="13"/>
      <c r="K87" s="13"/>
      <c r="L87" s="13"/>
      <c r="M87" s="13"/>
      <c r="N87" s="13"/>
      <c r="O87" s="13"/>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s="225" customFormat="1">
      <c r="A88" s="225" t="s">
        <v>16</v>
      </c>
      <c r="B88" s="25"/>
    </row>
    <row r="89" spans="1:54" s="225" customFormat="1">
      <c r="A89" s="225" t="s">
        <v>16</v>
      </c>
      <c r="B89" s="25"/>
      <c r="C89" s="225" t="s">
        <v>588</v>
      </c>
      <c r="D89" s="226" t="str">
        <f>D81</f>
        <v>RLEH</v>
      </c>
      <c r="J89" s="43">
        <f>J81</f>
        <v>14.601022992423397</v>
      </c>
      <c r="K89" s="43">
        <f t="shared" ref="K89:O89" si="48">K81</f>
        <v>13.891192798312483</v>
      </c>
      <c r="L89" s="43">
        <f t="shared" si="48"/>
        <v>13.181362604201567</v>
      </c>
      <c r="M89" s="43">
        <f t="shared" si="48"/>
        <v>12.471532410090653</v>
      </c>
      <c r="N89" s="43">
        <f t="shared" si="48"/>
        <v>11.761702215979739</v>
      </c>
      <c r="O89" s="43">
        <f t="shared" si="48"/>
        <v>11.051872021868823</v>
      </c>
      <c r="P89" s="226">
        <f t="shared" ref="P89:AP89" ca="1" si="49">(($M$81*(1-P$75))+((P81-$M$81)*(1-P$76)))</f>
        <v>10.559246775811518</v>
      </c>
      <c r="Q89" s="226">
        <f t="shared" ca="1" si="49"/>
        <v>10.456241224663412</v>
      </c>
      <c r="R89" s="226">
        <f t="shared" ca="1" si="49"/>
        <v>10.697507846502189</v>
      </c>
      <c r="S89" s="226">
        <f t="shared" ca="1" si="49"/>
        <v>10.959866727791111</v>
      </c>
      <c r="T89" s="226">
        <f t="shared" ca="1" si="49"/>
        <v>10.758970157353433</v>
      </c>
      <c r="U89" s="226">
        <f t="shared" ca="1" si="49"/>
        <v>10.559207980051228</v>
      </c>
      <c r="V89" s="226">
        <f t="shared" ca="1" si="49"/>
        <v>10.357396774041273</v>
      </c>
      <c r="W89" s="226">
        <f t="shared" ca="1" si="49"/>
        <v>10.164312125551909</v>
      </c>
      <c r="X89" s="226">
        <f t="shared" ca="1" si="49"/>
        <v>9.9411889663374282</v>
      </c>
      <c r="Y89" s="226">
        <f t="shared" ca="1" si="49"/>
        <v>9.7048437270703634</v>
      </c>
      <c r="Z89" s="226">
        <f t="shared" ca="1" si="49"/>
        <v>9.468281282592752</v>
      </c>
      <c r="AA89" s="226">
        <f t="shared" ca="1" si="49"/>
        <v>9.2162696389486189</v>
      </c>
      <c r="AB89" s="226">
        <f t="shared" ca="1" si="49"/>
        <v>8.9730611872134034</v>
      </c>
      <c r="AC89" s="226">
        <f t="shared" ca="1" si="49"/>
        <v>8.869223824336526</v>
      </c>
      <c r="AD89" s="226">
        <f t="shared" ca="1" si="49"/>
        <v>8.7682770008362443</v>
      </c>
      <c r="AE89" s="226">
        <f t="shared" ca="1" si="49"/>
        <v>8.6631264525207268</v>
      </c>
      <c r="AF89" s="226">
        <f t="shared" ca="1" si="49"/>
        <v>8.542370820100567</v>
      </c>
      <c r="AG89" s="226">
        <f t="shared" ca="1" si="49"/>
        <v>8.4104741683613415</v>
      </c>
      <c r="AH89" s="226">
        <f t="shared" ca="1" si="49"/>
        <v>8.280859319891583</v>
      </c>
      <c r="AI89" s="226">
        <f t="shared" ca="1" si="49"/>
        <v>8.1562407017350171</v>
      </c>
      <c r="AJ89" s="226">
        <f t="shared" ca="1" si="49"/>
        <v>8.0363235171605218</v>
      </c>
      <c r="AK89" s="226">
        <f t="shared" ca="1" si="49"/>
        <v>7.9196720678022281</v>
      </c>
      <c r="AL89" s="226">
        <f t="shared" ca="1" si="49"/>
        <v>7.8003712763928057</v>
      </c>
      <c r="AM89" s="226">
        <f t="shared" ca="1" si="49"/>
        <v>7.2064018055275501</v>
      </c>
      <c r="AN89" s="226">
        <f t="shared" ca="1" si="49"/>
        <v>6.6024705022677228</v>
      </c>
      <c r="AO89" s="226">
        <f t="shared" ca="1" si="49"/>
        <v>6.6024705022677228</v>
      </c>
      <c r="AP89" s="226">
        <f t="shared" ca="1" si="49"/>
        <v>6.6024705022677228</v>
      </c>
    </row>
    <row r="90" spans="1:54" s="225" customFormat="1">
      <c r="A90" s="225" t="s">
        <v>16</v>
      </c>
      <c r="B90" s="25"/>
      <c r="D90" s="226" t="str">
        <f>D82</f>
        <v>RMEH</v>
      </c>
      <c r="J90" s="43">
        <f t="shared" ref="J90:O93" si="50">J82</f>
        <v>13.162628870539544</v>
      </c>
      <c r="K90" s="43">
        <f t="shared" si="50"/>
        <v>13.094413910887344</v>
      </c>
      <c r="L90" s="43">
        <f t="shared" si="50"/>
        <v>13.026198951235143</v>
      </c>
      <c r="M90" s="43">
        <f t="shared" si="50"/>
        <v>12.957983991582941</v>
      </c>
      <c r="N90" s="43">
        <f t="shared" si="50"/>
        <v>12.88976903193074</v>
      </c>
      <c r="O90" s="43">
        <f t="shared" si="50"/>
        <v>12.821554072278539</v>
      </c>
      <c r="P90" s="226">
        <f t="shared" ref="P90:AP90" ca="1" si="51">(($M$82*(1-P$75))+((P82-$M$82)*(1-P$76)))</f>
        <v>12.559950035435728</v>
      </c>
      <c r="Q90" s="226">
        <f t="shared" ca="1" si="51"/>
        <v>12.623059374735366</v>
      </c>
      <c r="R90" s="226">
        <f t="shared" ca="1" si="51"/>
        <v>13.02419177463246</v>
      </c>
      <c r="S90" s="226">
        <f t="shared" ca="1" si="51"/>
        <v>12.281936055390544</v>
      </c>
      <c r="T90" s="226">
        <f t="shared" ca="1" si="51"/>
        <v>12.303988633295209</v>
      </c>
      <c r="U90" s="226">
        <f t="shared" ca="1" si="51"/>
        <v>12.304764096063547</v>
      </c>
      <c r="V90" s="226">
        <f t="shared" ca="1" si="51"/>
        <v>12.31752317693077</v>
      </c>
      <c r="W90" s="226">
        <f t="shared" ca="1" si="51"/>
        <v>12.321195763142239</v>
      </c>
      <c r="X90" s="226">
        <f t="shared" ca="1" si="51"/>
        <v>12.304141496592454</v>
      </c>
      <c r="Y90" s="226">
        <f t="shared" ca="1" si="51"/>
        <v>12.313826478353961</v>
      </c>
      <c r="Z90" s="226">
        <f t="shared" ca="1" si="51"/>
        <v>12.310655474836594</v>
      </c>
      <c r="AA90" s="226">
        <f t="shared" ca="1" si="51"/>
        <v>12.293212794477206</v>
      </c>
      <c r="AB90" s="226">
        <f t="shared" ca="1" si="51"/>
        <v>12.302342623148029</v>
      </c>
      <c r="AC90" s="226">
        <f t="shared" ca="1" si="51"/>
        <v>12.475433010266693</v>
      </c>
      <c r="AD90" s="226">
        <f t="shared" ca="1" si="51"/>
        <v>12.685667813766326</v>
      </c>
      <c r="AE90" s="226">
        <f t="shared" ca="1" si="51"/>
        <v>12.872618261452647</v>
      </c>
      <c r="AF90" s="226">
        <f t="shared" ca="1" si="51"/>
        <v>13.06790112368998</v>
      </c>
      <c r="AG90" s="226">
        <f t="shared" ca="1" si="51"/>
        <v>13.265108425651629</v>
      </c>
      <c r="AH90" s="226">
        <f t="shared" ca="1" si="51"/>
        <v>13.478359549570218</v>
      </c>
      <c r="AI90" s="226">
        <f t="shared" ca="1" si="51"/>
        <v>13.68361264740053</v>
      </c>
      <c r="AJ90" s="226">
        <f t="shared" ca="1" si="51"/>
        <v>13.893867923663192</v>
      </c>
      <c r="AK90" s="226">
        <f t="shared" ca="1" si="51"/>
        <v>14.098957239389305</v>
      </c>
      <c r="AL90" s="226">
        <f t="shared" ca="1" si="51"/>
        <v>14.30273629828185</v>
      </c>
      <c r="AM90" s="226">
        <f t="shared" ca="1" si="51"/>
        <v>15.344124335054257</v>
      </c>
      <c r="AN90" s="226">
        <f t="shared" ca="1" si="51"/>
        <v>16.411260283457271</v>
      </c>
      <c r="AO90" s="226">
        <f t="shared" ca="1" si="51"/>
        <v>16.411260283457271</v>
      </c>
      <c r="AP90" s="226">
        <f t="shared" ca="1" si="51"/>
        <v>16.411260283457271</v>
      </c>
    </row>
    <row r="91" spans="1:54" s="225" customFormat="1">
      <c r="A91" s="225" t="s">
        <v>16</v>
      </c>
      <c r="B91" s="25"/>
      <c r="D91" s="226" t="str">
        <f>D83</f>
        <v>RHEH</v>
      </c>
      <c r="J91" s="43">
        <f t="shared" si="50"/>
        <v>7.0842557645058601</v>
      </c>
      <c r="K91" s="43">
        <f t="shared" si="50"/>
        <v>7.2302855472935121</v>
      </c>
      <c r="L91" s="43">
        <f t="shared" si="50"/>
        <v>7.3763153300811641</v>
      </c>
      <c r="M91" s="43">
        <f t="shared" si="50"/>
        <v>7.5223451128688161</v>
      </c>
      <c r="N91" s="43">
        <f t="shared" si="50"/>
        <v>7.6683748956564681</v>
      </c>
      <c r="O91" s="43">
        <f t="shared" si="50"/>
        <v>7.8144046784441201</v>
      </c>
      <c r="P91" s="226">
        <f t="shared" ref="P91:AP91" ca="1" si="52">(($M$83*(1-P$75))+((P83-$M$83)*(1-P$76)))</f>
        <v>7.6903686027486522</v>
      </c>
      <c r="Q91" s="226">
        <f t="shared" ca="1" si="52"/>
        <v>7.6384373778864161</v>
      </c>
      <c r="R91" s="226">
        <f t="shared" ca="1" si="52"/>
        <v>6.7846067547446776</v>
      </c>
      <c r="S91" s="226">
        <f t="shared" ca="1" si="52"/>
        <v>6.8478910514719562</v>
      </c>
      <c r="T91" s="226">
        <f t="shared" ca="1" si="52"/>
        <v>6.9527421136633096</v>
      </c>
      <c r="U91" s="226">
        <f t="shared" ca="1" si="52"/>
        <v>7.0651397731112073</v>
      </c>
      <c r="V91" s="226">
        <f t="shared" ca="1" si="52"/>
        <v>7.1615034259585073</v>
      </c>
      <c r="W91" s="226">
        <f t="shared" ca="1" si="52"/>
        <v>7.2433864094923655</v>
      </c>
      <c r="X91" s="226">
        <f t="shared" ca="1" si="52"/>
        <v>7.4022531706739088</v>
      </c>
      <c r="Y91" s="226">
        <f t="shared" ca="1" si="52"/>
        <v>7.548105894854392</v>
      </c>
      <c r="Z91" s="226">
        <f t="shared" ca="1" si="52"/>
        <v>7.6956959291589326</v>
      </c>
      <c r="AA91" s="226">
        <f t="shared" ca="1" si="52"/>
        <v>7.8683060532674904</v>
      </c>
      <c r="AB91" s="226">
        <f t="shared" ca="1" si="52"/>
        <v>7.9958338016674073</v>
      </c>
      <c r="AC91" s="226">
        <f t="shared" ca="1" si="52"/>
        <v>8.2910273562188159</v>
      </c>
      <c r="AD91" s="226">
        <f t="shared" ca="1" si="52"/>
        <v>8.550952880343802</v>
      </c>
      <c r="AE91" s="226">
        <f t="shared" ca="1" si="52"/>
        <v>8.8365413307713414</v>
      </c>
      <c r="AF91" s="226">
        <f t="shared" ca="1" si="52"/>
        <v>9.1383753808870676</v>
      </c>
      <c r="AG91" s="226">
        <f t="shared" ca="1" si="52"/>
        <v>9.455163349034521</v>
      </c>
      <c r="AH91" s="226">
        <f t="shared" ca="1" si="52"/>
        <v>9.7667507758058409</v>
      </c>
      <c r="AI91" s="226">
        <f t="shared" ca="1" si="52"/>
        <v>10.077078421474617</v>
      </c>
      <c r="AJ91" s="226">
        <f t="shared" ca="1" si="52"/>
        <v>10.376247530895217</v>
      </c>
      <c r="AK91" s="226">
        <f t="shared" ca="1" si="52"/>
        <v>10.675373359306766</v>
      </c>
      <c r="AL91" s="226">
        <f t="shared" ca="1" si="52"/>
        <v>10.979026368045854</v>
      </c>
      <c r="AM91" s="226">
        <f t="shared" ca="1" si="52"/>
        <v>12.685015480859192</v>
      </c>
      <c r="AN91" s="226">
        <f t="shared" ca="1" si="52"/>
        <v>14.324989598448777</v>
      </c>
      <c r="AO91" s="226">
        <f t="shared" ca="1" si="52"/>
        <v>14.324989598448777</v>
      </c>
      <c r="AP91" s="226">
        <f t="shared" ca="1" si="52"/>
        <v>14.324989598448777</v>
      </c>
    </row>
    <row r="92" spans="1:54" s="225" customFormat="1">
      <c r="A92" s="225" t="s">
        <v>16</v>
      </c>
      <c r="B92" s="25"/>
      <c r="D92" s="226" t="str">
        <f>D84</f>
        <v>RMEO</v>
      </c>
      <c r="I92" s="225">
        <v>0.1</v>
      </c>
      <c r="J92" s="43">
        <f t="shared" si="50"/>
        <v>5.8181446629629967</v>
      </c>
      <c r="K92" s="43">
        <f t="shared" si="50"/>
        <v>6.4084282360981142</v>
      </c>
      <c r="L92" s="43">
        <f t="shared" si="50"/>
        <v>6.9987118092332326</v>
      </c>
      <c r="M92" s="43">
        <f t="shared" si="50"/>
        <v>7.58899538236835</v>
      </c>
      <c r="N92" s="43">
        <f t="shared" si="50"/>
        <v>8.1792789555034684</v>
      </c>
      <c r="O92" s="43">
        <f t="shared" si="50"/>
        <v>8.7695625286385859</v>
      </c>
      <c r="P92" s="226">
        <f ca="1">OFFSET(P$33,$BB117,$J$96)/OFFSET(O$33,$BB117,$J$96)*O117</f>
        <v>8.948576177158694</v>
      </c>
      <c r="Q92" s="226">
        <f ca="1">(($M$84*(1-Q$75*$I$92))+((Q84-$M$84)*(1-Q$76*$I$92)))</f>
        <v>9.0715680872394202</v>
      </c>
      <c r="R92" s="226">
        <f t="shared" ref="R92:AP92" ca="1" si="53">(($M$84*(1-R$75*$I$92))+((R84-$M$84)*(1-R$76*$I$92)))</f>
        <v>9.4808281779727412</v>
      </c>
      <c r="S92" s="226">
        <f t="shared" ca="1" si="53"/>
        <v>9.0579086725578417</v>
      </c>
      <c r="T92" s="226">
        <f t="shared" ca="1" si="53"/>
        <v>9.1952402981941894</v>
      </c>
      <c r="U92" s="226">
        <f t="shared" ca="1" si="53"/>
        <v>9.3205095397611295</v>
      </c>
      <c r="V92" s="226">
        <f t="shared" ca="1" si="53"/>
        <v>9.4587755775128102</v>
      </c>
      <c r="W92" s="226">
        <f t="shared" ca="1" si="53"/>
        <v>9.594193686768449</v>
      </c>
      <c r="X92" s="226">
        <f t="shared" ca="1" si="53"/>
        <v>9.71746627444249</v>
      </c>
      <c r="Y92" s="226">
        <f t="shared" ca="1" si="53"/>
        <v>9.8661133923595994</v>
      </c>
      <c r="Z92" s="226">
        <f t="shared" ca="1" si="53"/>
        <v>10.00908175221339</v>
      </c>
      <c r="AA92" s="226">
        <f t="shared" ca="1" si="53"/>
        <v>10.144967016961163</v>
      </c>
      <c r="AB92" s="226">
        <f t="shared" ca="1" si="53"/>
        <v>10.307685697533627</v>
      </c>
      <c r="AC92" s="226">
        <f t="shared" ca="1" si="53"/>
        <v>10.452711841117576</v>
      </c>
      <c r="AD92" s="226">
        <f t="shared" ca="1" si="53"/>
        <v>10.628859940998934</v>
      </c>
      <c r="AE92" s="226">
        <f t="shared" ca="1" si="53"/>
        <v>10.78549892552355</v>
      </c>
      <c r="AF92" s="226">
        <f t="shared" ca="1" si="53"/>
        <v>10.949119337319729</v>
      </c>
      <c r="AG92" s="226">
        <f t="shared" ca="1" si="53"/>
        <v>11.114352167208114</v>
      </c>
      <c r="AH92" s="226">
        <f t="shared" ca="1" si="53"/>
        <v>11.293027532326187</v>
      </c>
      <c r="AI92" s="226">
        <f t="shared" ca="1" si="53"/>
        <v>11.465001642110703</v>
      </c>
      <c r="AJ92" s="226">
        <f t="shared" ca="1" si="53"/>
        <v>11.641166895376024</v>
      </c>
      <c r="AK92" s="226">
        <f t="shared" ca="1" si="53"/>
        <v>11.813003778088859</v>
      </c>
      <c r="AL92" s="226">
        <f t="shared" ca="1" si="53"/>
        <v>11.983742844228283</v>
      </c>
      <c r="AM92" s="226">
        <f t="shared" ca="1" si="53"/>
        <v>12.856284026102369</v>
      </c>
      <c r="AN92" s="226">
        <f t="shared" ca="1" si="53"/>
        <v>13.750398447203011</v>
      </c>
      <c r="AO92" s="226">
        <f t="shared" ca="1" si="53"/>
        <v>13.750398447203011</v>
      </c>
      <c r="AP92" s="226">
        <f t="shared" ca="1" si="53"/>
        <v>13.750398447203011</v>
      </c>
    </row>
    <row r="93" spans="1:54" s="225" customFormat="1">
      <c r="A93" s="225" t="s">
        <v>16</v>
      </c>
      <c r="B93" s="25"/>
      <c r="D93" s="226" t="str">
        <f>D85</f>
        <v>RHEO</v>
      </c>
      <c r="I93" s="225">
        <v>0.1</v>
      </c>
      <c r="J93" s="43">
        <f t="shared" si="50"/>
        <v>11.690334156193106</v>
      </c>
      <c r="K93" s="43">
        <f t="shared" si="50"/>
        <v>12.00003056398719</v>
      </c>
      <c r="L93" s="43">
        <f t="shared" si="50"/>
        <v>12.309726971781274</v>
      </c>
      <c r="M93" s="43">
        <f t="shared" si="50"/>
        <v>12.619423379575359</v>
      </c>
      <c r="N93" s="43">
        <f t="shared" si="50"/>
        <v>12.929119787369443</v>
      </c>
      <c r="O93" s="43">
        <f t="shared" si="50"/>
        <v>13.238816195163526</v>
      </c>
      <c r="P93" s="226">
        <f t="shared" ref="P93:AP93" ca="1" si="54">(($M$85*(1-P$75))+((P85-$M$85)*(1-P$76)))</f>
        <v>13.028679802786591</v>
      </c>
      <c r="Q93" s="226">
        <f ca="1">(($M$85*(1-Q$75*$I$93))+((Q85-$M$85)*(1-Q$76*$I$93)))</f>
        <v>13.596848416652712</v>
      </c>
      <c r="R93" s="226">
        <f t="shared" ref="R93:AP93" ca="1" si="55">(($M$85*(1-R$75*$I$93))+((R85-$M$85)*(1-R$76*$I$93)))</f>
        <v>12.233089911976666</v>
      </c>
      <c r="S93" s="226">
        <f t="shared" ca="1" si="55"/>
        <v>12.509326892750241</v>
      </c>
      <c r="T93" s="226">
        <f t="shared" ca="1" si="55"/>
        <v>12.870317976733318</v>
      </c>
      <c r="U93" s="226">
        <f t="shared" ca="1" si="55"/>
        <v>13.255713694164795</v>
      </c>
      <c r="V93" s="226">
        <f t="shared" ca="1" si="55"/>
        <v>13.621713166752457</v>
      </c>
      <c r="W93" s="226">
        <f t="shared" ca="1" si="55"/>
        <v>13.97054252544442</v>
      </c>
      <c r="X93" s="226">
        <f t="shared" ca="1" si="55"/>
        <v>14.480436507712636</v>
      </c>
      <c r="Y93" s="226">
        <f t="shared" ca="1" si="55"/>
        <v>14.979835747289087</v>
      </c>
      <c r="Z93" s="226">
        <f t="shared" ca="1" si="55"/>
        <v>15.498046249628796</v>
      </c>
      <c r="AA93" s="226">
        <f t="shared" ca="1" si="55"/>
        <v>16.083570914535056</v>
      </c>
      <c r="AB93" s="226">
        <f t="shared" ca="1" si="55"/>
        <v>16.594077030743513</v>
      </c>
      <c r="AC93" s="226">
        <f t="shared" ca="1" si="55"/>
        <v>17.206704144401577</v>
      </c>
      <c r="AD93" s="226">
        <f t="shared" ca="1" si="55"/>
        <v>17.746138089200048</v>
      </c>
      <c r="AE93" s="226">
        <f t="shared" ca="1" si="55"/>
        <v>18.338831342090948</v>
      </c>
      <c r="AF93" s="226">
        <f t="shared" ca="1" si="55"/>
        <v>18.965239744561391</v>
      </c>
      <c r="AG93" s="226">
        <f t="shared" ca="1" si="55"/>
        <v>19.622682617467945</v>
      </c>
      <c r="AH93" s="226">
        <f t="shared" ca="1" si="55"/>
        <v>20.269332596682901</v>
      </c>
      <c r="AI93" s="226">
        <f t="shared" ca="1" si="55"/>
        <v>20.913368101263185</v>
      </c>
      <c r="AJ93" s="226">
        <f t="shared" ca="1" si="55"/>
        <v>21.534245844608613</v>
      </c>
      <c r="AK93" s="226">
        <f t="shared" ca="1" si="55"/>
        <v>22.155033765126809</v>
      </c>
      <c r="AL93" s="226">
        <f t="shared" ca="1" si="55"/>
        <v>22.785217125939376</v>
      </c>
      <c r="AM93" s="226">
        <f t="shared" ca="1" si="55"/>
        <v>26.32572527728825</v>
      </c>
      <c r="AN93" s="226">
        <f t="shared" ca="1" si="55"/>
        <v>29.729229841131506</v>
      </c>
      <c r="AO93" s="226">
        <f t="shared" ca="1" si="55"/>
        <v>29.729229841131506</v>
      </c>
      <c r="AP93" s="226">
        <f t="shared" ca="1" si="55"/>
        <v>29.729229841131506</v>
      </c>
    </row>
    <row r="94" spans="1:54" s="225" customFormat="1">
      <c r="A94" s="225" t="s">
        <v>16</v>
      </c>
      <c r="B94" s="25"/>
      <c r="D94" s="226"/>
      <c r="J94" s="43"/>
      <c r="K94" s="13"/>
      <c r="L94" s="13"/>
      <c r="M94" s="13"/>
      <c r="N94" s="13"/>
      <c r="O94" s="13"/>
      <c r="P94" s="226"/>
      <c r="Q94" s="226"/>
      <c r="R94" s="226"/>
      <c r="S94" s="226"/>
      <c r="T94" s="226"/>
      <c r="U94" s="226"/>
      <c r="V94" s="226"/>
      <c r="W94" s="226"/>
      <c r="X94" s="226"/>
      <c r="Y94" s="226"/>
      <c r="Z94" s="226"/>
      <c r="AA94" s="226"/>
      <c r="AB94" s="226"/>
      <c r="AC94" s="226"/>
      <c r="AD94" s="226"/>
      <c r="AE94" s="226"/>
      <c r="AF94" s="226"/>
      <c r="AG94" s="226"/>
      <c r="AH94" s="226"/>
      <c r="AI94" s="226"/>
      <c r="AJ94" s="226"/>
      <c r="AK94" s="226"/>
      <c r="AL94" s="226"/>
      <c r="AM94" s="226"/>
      <c r="AN94" s="226"/>
      <c r="AO94" s="226"/>
      <c r="AP94" s="226"/>
    </row>
    <row r="95" spans="1:54">
      <c r="A95" s="4" t="s">
        <v>16</v>
      </c>
      <c r="B95" s="25"/>
      <c r="D95" s="6"/>
    </row>
    <row r="96" spans="1:54" ht="18" thickBot="1">
      <c r="A96" s="4" t="s">
        <v>16</v>
      </c>
      <c r="B96" s="25"/>
      <c r="C96" s="38" t="s">
        <v>154</v>
      </c>
      <c r="D96" s="14"/>
      <c r="E96" s="9"/>
      <c r="F96" s="9"/>
      <c r="G96" s="15"/>
      <c r="H96" s="15"/>
      <c r="I96" s="159" t="s">
        <v>456</v>
      </c>
      <c r="J96" s="41">
        <f>J97-J3</f>
        <v>0</v>
      </c>
    </row>
    <row r="97" spans="1:54" ht="24" thickTop="1">
      <c r="A97" s="4" t="s">
        <v>16</v>
      </c>
      <c r="B97" s="16" t="s">
        <v>18</v>
      </c>
      <c r="C97" s="16" t="s">
        <v>19</v>
      </c>
      <c r="D97" s="16" t="s">
        <v>20</v>
      </c>
      <c r="E97" s="16" t="s">
        <v>21</v>
      </c>
      <c r="F97" s="16" t="s">
        <v>22</v>
      </c>
      <c r="G97" s="16" t="s">
        <v>23</v>
      </c>
      <c r="H97" s="16" t="s">
        <v>24</v>
      </c>
      <c r="I97" s="17" t="s">
        <v>25</v>
      </c>
      <c r="J97" s="18">
        <f>'[6]TS BYDem'!J7</f>
        <v>2012</v>
      </c>
      <c r="K97" s="18">
        <v>2013</v>
      </c>
      <c r="L97" s="18">
        <f>1+K97</f>
        <v>2014</v>
      </c>
      <c r="M97" s="18">
        <f t="shared" ref="M97:AL97" si="56">1+L97</f>
        <v>2015</v>
      </c>
      <c r="N97" s="18">
        <f t="shared" si="56"/>
        <v>2016</v>
      </c>
      <c r="O97" s="18">
        <f t="shared" si="56"/>
        <v>2017</v>
      </c>
      <c r="P97" s="18">
        <f t="shared" si="56"/>
        <v>2018</v>
      </c>
      <c r="Q97" s="18">
        <f t="shared" si="56"/>
        <v>2019</v>
      </c>
      <c r="R97" s="18">
        <f t="shared" si="56"/>
        <v>2020</v>
      </c>
      <c r="S97" s="18">
        <f t="shared" si="56"/>
        <v>2021</v>
      </c>
      <c r="T97" s="18">
        <f t="shared" si="56"/>
        <v>2022</v>
      </c>
      <c r="U97" s="18">
        <f t="shared" si="56"/>
        <v>2023</v>
      </c>
      <c r="V97" s="18">
        <f t="shared" si="56"/>
        <v>2024</v>
      </c>
      <c r="W97" s="18">
        <f t="shared" si="56"/>
        <v>2025</v>
      </c>
      <c r="X97" s="18">
        <f t="shared" si="56"/>
        <v>2026</v>
      </c>
      <c r="Y97" s="18">
        <f t="shared" si="56"/>
        <v>2027</v>
      </c>
      <c r="Z97" s="18">
        <f t="shared" si="56"/>
        <v>2028</v>
      </c>
      <c r="AA97" s="18">
        <f t="shared" si="56"/>
        <v>2029</v>
      </c>
      <c r="AB97" s="18">
        <f t="shared" si="56"/>
        <v>2030</v>
      </c>
      <c r="AC97" s="18">
        <f t="shared" si="56"/>
        <v>2031</v>
      </c>
      <c r="AD97" s="18">
        <f t="shared" si="56"/>
        <v>2032</v>
      </c>
      <c r="AE97" s="18">
        <f t="shared" si="56"/>
        <v>2033</v>
      </c>
      <c r="AF97" s="18">
        <f>1+AE97</f>
        <v>2034</v>
      </c>
      <c r="AG97" s="18">
        <f t="shared" si="56"/>
        <v>2035</v>
      </c>
      <c r="AH97" s="18">
        <f t="shared" si="56"/>
        <v>2036</v>
      </c>
      <c r="AI97" s="18">
        <f t="shared" si="56"/>
        <v>2037</v>
      </c>
      <c r="AJ97" s="18">
        <f t="shared" si="56"/>
        <v>2038</v>
      </c>
      <c r="AK97" s="18">
        <f t="shared" si="56"/>
        <v>2039</v>
      </c>
      <c r="AL97" s="18">
        <f t="shared" si="56"/>
        <v>2040</v>
      </c>
      <c r="AM97" s="18">
        <f>5+AL97</f>
        <v>2045</v>
      </c>
      <c r="AN97" s="18">
        <f>5+AM97</f>
        <v>2050</v>
      </c>
      <c r="AO97" s="18">
        <f>10+AN97</f>
        <v>2060</v>
      </c>
      <c r="AP97" s="18">
        <f>10+AO97</f>
        <v>2070</v>
      </c>
      <c r="AQ97" s="18"/>
      <c r="AR97" s="18"/>
      <c r="AS97" s="18"/>
      <c r="AT97" s="18"/>
      <c r="AU97" s="18"/>
      <c r="AV97" s="18"/>
    </row>
    <row r="98" spans="1:54">
      <c r="A98" s="4" t="s">
        <v>16</v>
      </c>
      <c r="B98" s="16"/>
      <c r="C98" s="5" t="str">
        <f>C34</f>
        <v>Low Income Electrified</v>
      </c>
      <c r="D98" s="16"/>
      <c r="E98" s="16"/>
      <c r="F98" s="16"/>
      <c r="G98" s="16"/>
      <c r="H98" s="16"/>
      <c r="I98" s="17"/>
      <c r="J98" s="6"/>
    </row>
    <row r="99" spans="1:54">
      <c r="A99" s="22" t="str">
        <f>'[6]TS BYDem'!A10</f>
        <v/>
      </c>
      <c r="B99" s="22" t="str">
        <f>'[6]TS BYDem'!B10</f>
        <v>COM_PROJ</v>
      </c>
      <c r="C99" s="22" t="str">
        <f>'[6]TS BYDem'!C10</f>
        <v>-</v>
      </c>
      <c r="D99" s="22" t="str">
        <f>'[6]TS BYDem'!D10</f>
        <v>RLEL</v>
      </c>
      <c r="E99" s="132" t="str">
        <f>'[6]TS BYDem'!E10</f>
        <v>-</v>
      </c>
      <c r="F99" s="132" t="str">
        <f>'[6]TS BYDem'!F10</f>
        <v>-</v>
      </c>
      <c r="G99" s="132" t="str">
        <f>'[6]TS BYDem'!G10</f>
        <v>-</v>
      </c>
      <c r="H99" s="132" t="str">
        <f>'[6]TS BYDem'!H10</f>
        <v>-</v>
      </c>
      <c r="I99" s="132">
        <f>'[6]TS BYDem'!I10</f>
        <v>0</v>
      </c>
      <c r="J99" s="24">
        <f>'[6]TS BYDem'!J10</f>
        <v>10.675790841703828</v>
      </c>
      <c r="K99" s="24">
        <f>($O99-$J99)*(K$97-$J$97)/($O$97-$J$97)+$J99</f>
        <v>12.639010653235388</v>
      </c>
      <c r="L99" s="24">
        <f t="shared" ref="L99:N114" si="57">($O99-$J99)*(L$97-$J$97)/($O$97-$J$97)+$J99</f>
        <v>14.602230464766947</v>
      </c>
      <c r="M99" s="24">
        <f t="shared" si="57"/>
        <v>16.565450276298506</v>
      </c>
      <c r="N99" s="24">
        <f t="shared" si="57"/>
        <v>18.528670087830069</v>
      </c>
      <c r="O99" s="24">
        <f>'[6]TS BYDem'!O10</f>
        <v>20.491889899361627</v>
      </c>
      <c r="P99" s="24">
        <f t="shared" ref="P99:AP99" ca="1" si="58">OFFSET(P$21,$BB99,$J$96)/OFFSET(O$21,$BB99,$J$96)*O99</f>
        <v>20.394256315615621</v>
      </c>
      <c r="Q99" s="24">
        <f t="shared" ca="1" si="58"/>
        <v>20.47975114242583</v>
      </c>
      <c r="R99" s="24">
        <f t="shared" ca="1" si="58"/>
        <v>21.251618137728347</v>
      </c>
      <c r="S99" s="24">
        <f t="shared" ca="1" si="58"/>
        <v>22.088367143787096</v>
      </c>
      <c r="T99" s="24">
        <f t="shared" ca="1" si="58"/>
        <v>22.002357662077561</v>
      </c>
      <c r="U99" s="24">
        <f t="shared" ca="1" si="58"/>
        <v>21.916135219720022</v>
      </c>
      <c r="V99" s="24">
        <f t="shared" ca="1" si="58"/>
        <v>21.822982682942275</v>
      </c>
      <c r="W99" s="24">
        <f t="shared" ca="1" si="58"/>
        <v>21.745633600917927</v>
      </c>
      <c r="X99" s="24">
        <f t="shared" ca="1" si="58"/>
        <v>21.600598526272062</v>
      </c>
      <c r="Y99" s="24">
        <f t="shared" ca="1" si="58"/>
        <v>21.421773695477441</v>
      </c>
      <c r="Z99" s="24">
        <f t="shared" ca="1" si="58"/>
        <v>21.23669314564793</v>
      </c>
      <c r="AA99" s="24">
        <f t="shared" ca="1" si="58"/>
        <v>21.01032485018812</v>
      </c>
      <c r="AB99" s="24">
        <f t="shared" ca="1" si="58"/>
        <v>20.79681405385109</v>
      </c>
      <c r="AC99" s="24">
        <f t="shared" ca="1" si="58"/>
        <v>20.556150774894522</v>
      </c>
      <c r="AD99" s="24">
        <f t="shared" ca="1" si="58"/>
        <v>20.322186882989509</v>
      </c>
      <c r="AE99" s="24">
        <f t="shared" ca="1" si="58"/>
        <v>20.078480041438659</v>
      </c>
      <c r="AF99" s="24">
        <f t="shared" ca="1" si="58"/>
        <v>19.798605383169761</v>
      </c>
      <c r="AG99" s="24">
        <f t="shared" ca="1" si="58"/>
        <v>19.492909246331305</v>
      </c>
      <c r="AH99" s="24">
        <f t="shared" ca="1" si="58"/>
        <v>19.192501632251414</v>
      </c>
      <c r="AI99" s="24">
        <f t="shared" ca="1" si="58"/>
        <v>18.903673753406331</v>
      </c>
      <c r="AJ99" s="24">
        <f t="shared" ca="1" si="58"/>
        <v>18.625742361050406</v>
      </c>
      <c r="AK99" s="24">
        <f t="shared" ca="1" si="58"/>
        <v>18.355379945058676</v>
      </c>
      <c r="AL99" s="24">
        <f t="shared" ca="1" si="58"/>
        <v>18.078877163716388</v>
      </c>
      <c r="AM99" s="24">
        <f t="shared" ca="1" si="58"/>
        <v>16.702237421545505</v>
      </c>
      <c r="AN99" s="24">
        <f t="shared" ca="1" si="58"/>
        <v>15.302509195787682</v>
      </c>
      <c r="AO99" s="24">
        <f t="shared" ca="1" si="58"/>
        <v>15.302509195787682</v>
      </c>
      <c r="AP99" s="24">
        <f t="shared" ca="1" si="58"/>
        <v>15.302509195787682</v>
      </c>
      <c r="AQ99" s="6"/>
      <c r="AR99" s="6"/>
      <c r="AS99" s="6"/>
      <c r="AT99" s="6"/>
      <c r="AU99" s="6"/>
      <c r="AV99" s="6"/>
      <c r="BB99" s="4">
        <f>MATCH(MID(D99,2,2),$B$34:$B$38,0)</f>
        <v>1</v>
      </c>
    </row>
    <row r="100" spans="1:54">
      <c r="A100" s="22" t="str">
        <f>'[6]TS BYDem'!A11</f>
        <v/>
      </c>
      <c r="B100" s="22" t="str">
        <f>'[6]TS BYDem'!B11</f>
        <v>COM_PROJ</v>
      </c>
      <c r="C100" s="22" t="str">
        <f>'[6]TS BYDem'!C11</f>
        <v>-</v>
      </c>
      <c r="D100" s="22" t="str">
        <f>'[6]TS BYDem'!D11</f>
        <v>RLNL</v>
      </c>
      <c r="E100" s="132" t="s">
        <v>137</v>
      </c>
      <c r="F100" s="132" t="s">
        <v>137</v>
      </c>
      <c r="G100" s="132" t="s">
        <v>137</v>
      </c>
      <c r="H100" s="132" t="s">
        <v>137</v>
      </c>
      <c r="I100" s="132">
        <v>0</v>
      </c>
      <c r="J100" s="6">
        <f>'[6]TS BYDem'!J11</f>
        <v>4.742986727829742E-2</v>
      </c>
      <c r="K100" s="24">
        <f t="shared" ref="K100:N128" si="59">($O100-$J100)*(K$97-$J$97)/($O$97-$J$97)+$J100</f>
        <v>4.5818274562462187E-2</v>
      </c>
      <c r="L100" s="24">
        <f t="shared" si="57"/>
        <v>4.4206681846626947E-2</v>
      </c>
      <c r="M100" s="24">
        <f t="shared" si="57"/>
        <v>4.2595089130791713E-2</v>
      </c>
      <c r="N100" s="24">
        <f t="shared" si="57"/>
        <v>4.0983496414956473E-2</v>
      </c>
      <c r="O100" s="24">
        <f>'[6]TS BYDem'!O11</f>
        <v>3.937190369912124E-2</v>
      </c>
      <c r="P100" s="24">
        <f t="shared" ref="P100:AP100" ca="1" si="60">OFFSET(P$21,$BB100,$J$96)/OFFSET(O$21,$BB100,$J$96)*O100</f>
        <v>3.9184316313285852E-2</v>
      </c>
      <c r="Q100" s="24">
        <f t="shared" ca="1" si="60"/>
        <v>3.9348581010416078E-2</v>
      </c>
      <c r="R100" s="24">
        <f t="shared" ca="1" si="60"/>
        <v>4.0831600544330687E-2</v>
      </c>
      <c r="S100" s="24">
        <f t="shared" ca="1" si="60"/>
        <v>4.2439280531324307E-2</v>
      </c>
      <c r="T100" s="24">
        <f t="shared" ca="1" si="60"/>
        <v>4.2274027006748975E-2</v>
      </c>
      <c r="U100" s="24">
        <f t="shared" ca="1" si="60"/>
        <v>4.2108364312196347E-2</v>
      </c>
      <c r="V100" s="24">
        <f t="shared" ca="1" si="60"/>
        <v>4.192938654463297E-2</v>
      </c>
      <c r="W100" s="24">
        <f t="shared" ca="1" si="60"/>
        <v>4.1780772599133834E-2</v>
      </c>
      <c r="X100" s="24">
        <f t="shared" ca="1" si="60"/>
        <v>4.1502110795854787E-2</v>
      </c>
      <c r="Y100" s="24">
        <f t="shared" ca="1" si="60"/>
        <v>4.1158527356180107E-2</v>
      </c>
      <c r="Z100" s="24">
        <f t="shared" ca="1" si="60"/>
        <v>4.0802924548422735E-2</v>
      </c>
      <c r="AA100" s="24">
        <f t="shared" ca="1" si="60"/>
        <v>4.0367993911319545E-2</v>
      </c>
      <c r="AB100" s="24">
        <f t="shared" ca="1" si="60"/>
        <v>3.9957766911594833E-2</v>
      </c>
      <c r="AC100" s="24">
        <f t="shared" ca="1" si="60"/>
        <v>3.9495370739766486E-2</v>
      </c>
      <c r="AD100" s="24">
        <f t="shared" ca="1" si="60"/>
        <v>3.9045846373473518E-2</v>
      </c>
      <c r="AE100" s="24">
        <f t="shared" ca="1" si="60"/>
        <v>3.8577602480719834E-2</v>
      </c>
      <c r="AF100" s="24">
        <f t="shared" ca="1" si="60"/>
        <v>3.8039867886824182E-2</v>
      </c>
      <c r="AG100" s="24">
        <f t="shared" ca="1" si="60"/>
        <v>3.745252143318293E-2</v>
      </c>
      <c r="AH100" s="24">
        <f t="shared" ca="1" si="60"/>
        <v>3.6875336033977524E-2</v>
      </c>
      <c r="AI100" s="24">
        <f t="shared" ca="1" si="60"/>
        <v>3.6320399252286917E-2</v>
      </c>
      <c r="AJ100" s="24">
        <f t="shared" ca="1" si="60"/>
        <v>3.5786398334433991E-2</v>
      </c>
      <c r="AK100" s="24">
        <f t="shared" ca="1" si="60"/>
        <v>3.5266939999523662E-2</v>
      </c>
      <c r="AL100" s="24">
        <f t="shared" ca="1" si="60"/>
        <v>3.4735683930268338E-2</v>
      </c>
      <c r="AM100" s="24">
        <f t="shared" ca="1" si="60"/>
        <v>3.2090689855865093E-2</v>
      </c>
      <c r="AN100" s="24">
        <f t="shared" ca="1" si="60"/>
        <v>2.9401334936424713E-2</v>
      </c>
      <c r="AO100" s="24">
        <f t="shared" ca="1" si="60"/>
        <v>2.9401334936424713E-2</v>
      </c>
      <c r="AP100" s="24">
        <f t="shared" ca="1" si="60"/>
        <v>2.9401334936424713E-2</v>
      </c>
      <c r="AQ100" s="6"/>
      <c r="AR100" s="6"/>
      <c r="AS100" s="6"/>
      <c r="AT100" s="6"/>
      <c r="AU100" s="6"/>
      <c r="AV100" s="6"/>
      <c r="BB100" s="255">
        <v>1</v>
      </c>
    </row>
    <row r="101" spans="1:54">
      <c r="A101" s="22" t="str">
        <f>'[6]TS BYDem'!A12</f>
        <v/>
      </c>
      <c r="B101" s="22" t="str">
        <f>'[6]TS BYDem'!B12</f>
        <v>COM_PROJ</v>
      </c>
      <c r="C101" s="22" t="str">
        <f>'[6]TS BYDem'!C12</f>
        <v>-</v>
      </c>
      <c r="D101" s="22" t="str">
        <f>'[6]TS BYDem'!D12</f>
        <v>RLEK</v>
      </c>
      <c r="E101" s="132" t="s">
        <v>137</v>
      </c>
      <c r="F101" s="132" t="s">
        <v>137</v>
      </c>
      <c r="G101" s="132" t="s">
        <v>137</v>
      </c>
      <c r="H101" s="132" t="s">
        <v>137</v>
      </c>
      <c r="I101" s="132">
        <v>0</v>
      </c>
      <c r="J101" s="6">
        <f>'[6]TS BYDem'!J12</f>
        <v>10.057098199765919</v>
      </c>
      <c r="K101" s="24">
        <f t="shared" si="59"/>
        <v>10.651583309100051</v>
      </c>
      <c r="L101" s="24">
        <f t="shared" si="57"/>
        <v>11.246068418434183</v>
      </c>
      <c r="M101" s="24">
        <f t="shared" si="57"/>
        <v>11.840553527768316</v>
      </c>
      <c r="N101" s="24">
        <f t="shared" si="57"/>
        <v>12.435038637102448</v>
      </c>
      <c r="O101" s="24">
        <f>'[6]TS BYDem'!O12</f>
        <v>13.029523746436579</v>
      </c>
      <c r="P101" s="24">
        <f t="shared" ref="P101:AP101" ca="1" si="61">OFFSET(P$21,$BB101,$J$96)/OFFSET(O$21,$BB101,$J$96)*O101</f>
        <v>12.967444596874687</v>
      </c>
      <c r="Q101" s="24">
        <f t="shared" ca="1" si="61"/>
        <v>13.021805462641188</v>
      </c>
      <c r="R101" s="24">
        <f t="shared" ca="1" si="61"/>
        <v>13.512587884066265</v>
      </c>
      <c r="S101" s="24">
        <f t="shared" ca="1" si="61"/>
        <v>14.044624758058513</v>
      </c>
      <c r="T101" s="24">
        <f t="shared" ca="1" si="61"/>
        <v>13.989936655113551</v>
      </c>
      <c r="U101" s="24">
        <f t="shared" ca="1" si="61"/>
        <v>13.935113143680947</v>
      </c>
      <c r="V101" s="24">
        <f t="shared" ca="1" si="61"/>
        <v>13.875883214379783</v>
      </c>
      <c r="W101" s="24">
        <f t="shared" ca="1" si="61"/>
        <v>13.826701723265453</v>
      </c>
      <c r="X101" s="24">
        <f t="shared" ca="1" si="61"/>
        <v>13.73448290116338</v>
      </c>
      <c r="Y101" s="24">
        <f t="shared" ca="1" si="61"/>
        <v>13.620779265689347</v>
      </c>
      <c r="Z101" s="24">
        <f t="shared" ca="1" si="61"/>
        <v>13.503098005890937</v>
      </c>
      <c r="AA101" s="24">
        <f t="shared" ca="1" si="61"/>
        <v>13.359164425551633</v>
      </c>
      <c r="AB101" s="24">
        <f t="shared" ca="1" si="61"/>
        <v>13.223406132653496</v>
      </c>
      <c r="AC101" s="24">
        <f t="shared" ca="1" si="61"/>
        <v>13.070383257581462</v>
      </c>
      <c r="AD101" s="24">
        <f t="shared" ca="1" si="61"/>
        <v>12.921620107849719</v>
      </c>
      <c r="AE101" s="24">
        <f t="shared" ca="1" si="61"/>
        <v>12.766662019808519</v>
      </c>
      <c r="AF101" s="24">
        <f t="shared" ca="1" si="61"/>
        <v>12.588707056950064</v>
      </c>
      <c r="AG101" s="24">
        <f t="shared" ca="1" si="61"/>
        <v>12.394333814965455</v>
      </c>
      <c r="AH101" s="24">
        <f t="shared" ca="1" si="61"/>
        <v>12.203323217090526</v>
      </c>
      <c r="AI101" s="24">
        <f t="shared" ca="1" si="61"/>
        <v>12.019675455730939</v>
      </c>
      <c r="AJ101" s="24">
        <f t="shared" ca="1" si="61"/>
        <v>11.842956095322188</v>
      </c>
      <c r="AK101" s="24">
        <f t="shared" ca="1" si="61"/>
        <v>11.671049378244913</v>
      </c>
      <c r="AL101" s="24">
        <f t="shared" ca="1" si="61"/>
        <v>11.495238383107401</v>
      </c>
      <c r="AM101" s="24">
        <f t="shared" ca="1" si="61"/>
        <v>10.619918424870525</v>
      </c>
      <c r="AN101" s="24">
        <f t="shared" ca="1" si="61"/>
        <v>9.7299179297655201</v>
      </c>
      <c r="AO101" s="24">
        <f t="shared" ca="1" si="61"/>
        <v>9.7299179297655201</v>
      </c>
      <c r="AP101" s="24">
        <f t="shared" ca="1" si="61"/>
        <v>9.7299179297655201</v>
      </c>
      <c r="AQ101" s="6"/>
      <c r="AR101" s="6"/>
      <c r="AS101" s="6"/>
      <c r="AT101" s="6"/>
      <c r="AU101" s="6"/>
      <c r="AV101" s="6"/>
      <c r="BB101" s="4">
        <f t="shared" ref="BB101:BB128" si="62">MATCH(MID(D101,2,2),$B$34:$B$38,0)</f>
        <v>1</v>
      </c>
    </row>
    <row r="102" spans="1:54">
      <c r="A102" s="22" t="str">
        <f>'[6]TS BYDem'!A13</f>
        <v/>
      </c>
      <c r="B102" s="22" t="str">
        <f>'[6]TS BYDem'!B13</f>
        <v>COM_PROJ</v>
      </c>
      <c r="C102" s="22" t="str">
        <f>'[6]TS BYDem'!C13</f>
        <v>-</v>
      </c>
      <c r="D102" s="22" t="str">
        <f>'[6]TS BYDem'!D13</f>
        <v>RLEH</v>
      </c>
      <c r="E102" s="132" t="s">
        <v>137</v>
      </c>
      <c r="F102" s="132" t="s">
        <v>137</v>
      </c>
      <c r="G102" s="132" t="s">
        <v>137</v>
      </c>
      <c r="H102" s="132" t="s">
        <v>137</v>
      </c>
      <c r="I102" s="132">
        <v>0</v>
      </c>
      <c r="J102" s="6">
        <f>'[6]TS BYDem'!J13</f>
        <v>14.601022992423397</v>
      </c>
      <c r="K102" s="24">
        <f t="shared" si="59"/>
        <v>13.891192798312483</v>
      </c>
      <c r="L102" s="24">
        <f t="shared" si="57"/>
        <v>13.181362604201567</v>
      </c>
      <c r="M102" s="24">
        <f t="shared" si="57"/>
        <v>12.471532410090653</v>
      </c>
      <c r="N102" s="24">
        <f t="shared" si="57"/>
        <v>11.761702215979739</v>
      </c>
      <c r="O102" s="24">
        <f>'[6]TS BYDem'!O13</f>
        <v>11.051872021868823</v>
      </c>
      <c r="P102" s="24">
        <f ca="1">IF($E$78=1, P89,P81)</f>
        <v>10.999215391470331</v>
      </c>
      <c r="Q102" s="24">
        <f t="shared" ref="Q102:AP102" ca="1" si="63">IF($E$78=1, Q89,Q81)</f>
        <v>11.045325237320505</v>
      </c>
      <c r="R102" s="24">
        <f t="shared" ca="1" si="63"/>
        <v>11.461615549823774</v>
      </c>
      <c r="S102" s="24">
        <f t="shared" ca="1" si="63"/>
        <v>11.912898617164251</v>
      </c>
      <c r="T102" s="24">
        <f t="shared" ca="1" si="63"/>
        <v>11.866511202963345</v>
      </c>
      <c r="U102" s="24">
        <f t="shared" ca="1" si="63"/>
        <v>11.820008932893167</v>
      </c>
      <c r="V102" s="24">
        <f t="shared" ca="1" si="63"/>
        <v>11.769769061410539</v>
      </c>
      <c r="W102" s="24">
        <f t="shared" ca="1" si="63"/>
        <v>11.728052452559895</v>
      </c>
      <c r="X102" s="24">
        <f t="shared" ca="1" si="63"/>
        <v>11.649830819926674</v>
      </c>
      <c r="Y102" s="24">
        <f t="shared" ca="1" si="63"/>
        <v>11.553385389369481</v>
      </c>
      <c r="Z102" s="24">
        <f t="shared" ca="1" si="63"/>
        <v>11.453566067652522</v>
      </c>
      <c r="AA102" s="24">
        <f t="shared" ca="1" si="63"/>
        <v>11.331479064281089</v>
      </c>
      <c r="AB102" s="24">
        <f t="shared" ca="1" si="63"/>
        <v>11.216326484016754</v>
      </c>
      <c r="AC102" s="24">
        <f t="shared" ca="1" si="63"/>
        <v>11.086529780420657</v>
      </c>
      <c r="AD102" s="24">
        <f t="shared" ca="1" si="63"/>
        <v>10.960346251045305</v>
      </c>
      <c r="AE102" s="24">
        <f t="shared" ca="1" si="63"/>
        <v>10.828908065650909</v>
      </c>
      <c r="AF102" s="24">
        <f t="shared" ca="1" si="63"/>
        <v>10.677963525125708</v>
      </c>
      <c r="AG102" s="24">
        <f t="shared" ca="1" si="63"/>
        <v>10.513092710451676</v>
      </c>
      <c r="AH102" s="24">
        <f t="shared" ca="1" si="63"/>
        <v>10.351074149864479</v>
      </c>
      <c r="AI102" s="24">
        <f t="shared" ca="1" si="63"/>
        <v>10.195300877168771</v>
      </c>
      <c r="AJ102" s="24">
        <f t="shared" ca="1" si="63"/>
        <v>10.045404396450651</v>
      </c>
      <c r="AK102" s="24">
        <f t="shared" ca="1" si="63"/>
        <v>9.8995900847527842</v>
      </c>
      <c r="AL102" s="24">
        <f t="shared" ca="1" si="63"/>
        <v>9.7504640954910062</v>
      </c>
      <c r="AM102" s="24">
        <f t="shared" ca="1" si="63"/>
        <v>9.0080022569094371</v>
      </c>
      <c r="AN102" s="24">
        <f t="shared" ca="1" si="63"/>
        <v>8.2530881278346531</v>
      </c>
      <c r="AO102" s="24">
        <f t="shared" ca="1" si="63"/>
        <v>8.2530881278346531</v>
      </c>
      <c r="AP102" s="24">
        <f t="shared" ca="1" si="63"/>
        <v>8.2530881278346531</v>
      </c>
      <c r="AQ102" s="6"/>
      <c r="AR102" s="6"/>
      <c r="AS102" s="6"/>
      <c r="AT102" s="6"/>
      <c r="AU102" s="6"/>
      <c r="AV102" s="6"/>
      <c r="BB102" s="4">
        <f t="shared" si="62"/>
        <v>1</v>
      </c>
    </row>
    <row r="103" spans="1:54">
      <c r="A103" s="22" t="str">
        <f>'[6]TS BYDem'!A14</f>
        <v/>
      </c>
      <c r="B103" s="22" t="str">
        <f>'[6]TS BYDem'!B14</f>
        <v>COM_PROJ</v>
      </c>
      <c r="C103" s="22" t="str">
        <f>'[6]TS BYDem'!C14</f>
        <v>-</v>
      </c>
      <c r="D103" s="22" t="str">
        <f>'[6]TS BYDem'!D14</f>
        <v>RLEWG</v>
      </c>
      <c r="E103" s="132" t="s">
        <v>137</v>
      </c>
      <c r="F103" s="132" t="s">
        <v>137</v>
      </c>
      <c r="G103" s="132" t="s">
        <v>137</v>
      </c>
      <c r="H103" s="132" t="s">
        <v>137</v>
      </c>
      <c r="I103" s="132">
        <v>0</v>
      </c>
      <c r="J103" s="6">
        <f>'[6]TS BYDem'!J14</f>
        <v>0</v>
      </c>
      <c r="K103" s="24">
        <f t="shared" si="59"/>
        <v>0</v>
      </c>
      <c r="L103" s="24">
        <f t="shared" si="57"/>
        <v>0</v>
      </c>
      <c r="M103" s="24">
        <f t="shared" si="57"/>
        <v>0</v>
      </c>
      <c r="N103" s="24">
        <f t="shared" si="57"/>
        <v>0</v>
      </c>
      <c r="O103" s="24">
        <f>'[6]TS BYDem'!O14</f>
        <v>0</v>
      </c>
      <c r="P103" s="24">
        <f t="shared" ref="P103:AP103" ca="1" si="64">OFFSET(P$21,$BB103,$J$96)/OFFSET(O$21,$BB103,$J$96)*O103</f>
        <v>0</v>
      </c>
      <c r="Q103" s="24">
        <f t="shared" ca="1" si="64"/>
        <v>0</v>
      </c>
      <c r="R103" s="24">
        <f t="shared" ca="1" si="64"/>
        <v>0</v>
      </c>
      <c r="S103" s="24">
        <f t="shared" ca="1" si="64"/>
        <v>0</v>
      </c>
      <c r="T103" s="24">
        <f t="shared" ca="1" si="64"/>
        <v>0</v>
      </c>
      <c r="U103" s="24">
        <f t="shared" ca="1" si="64"/>
        <v>0</v>
      </c>
      <c r="V103" s="24">
        <f t="shared" ca="1" si="64"/>
        <v>0</v>
      </c>
      <c r="W103" s="24">
        <f t="shared" ca="1" si="64"/>
        <v>0</v>
      </c>
      <c r="X103" s="24">
        <f t="shared" ca="1" si="64"/>
        <v>0</v>
      </c>
      <c r="Y103" s="24">
        <f t="shared" ca="1" si="64"/>
        <v>0</v>
      </c>
      <c r="Z103" s="24">
        <f t="shared" ca="1" si="64"/>
        <v>0</v>
      </c>
      <c r="AA103" s="24">
        <f t="shared" ca="1" si="64"/>
        <v>0</v>
      </c>
      <c r="AB103" s="24">
        <f t="shared" ca="1" si="64"/>
        <v>0</v>
      </c>
      <c r="AC103" s="24">
        <f t="shared" ca="1" si="64"/>
        <v>0</v>
      </c>
      <c r="AD103" s="24">
        <f t="shared" ca="1" si="64"/>
        <v>0</v>
      </c>
      <c r="AE103" s="24">
        <f t="shared" ca="1" si="64"/>
        <v>0</v>
      </c>
      <c r="AF103" s="24">
        <f t="shared" ca="1" si="64"/>
        <v>0</v>
      </c>
      <c r="AG103" s="24">
        <f t="shared" ca="1" si="64"/>
        <v>0</v>
      </c>
      <c r="AH103" s="24">
        <f t="shared" ca="1" si="64"/>
        <v>0</v>
      </c>
      <c r="AI103" s="24">
        <f t="shared" ca="1" si="64"/>
        <v>0</v>
      </c>
      <c r="AJ103" s="24">
        <f t="shared" ca="1" si="64"/>
        <v>0</v>
      </c>
      <c r="AK103" s="24">
        <f t="shared" ca="1" si="64"/>
        <v>0</v>
      </c>
      <c r="AL103" s="24">
        <f t="shared" ca="1" si="64"/>
        <v>0</v>
      </c>
      <c r="AM103" s="24">
        <f t="shared" ca="1" si="64"/>
        <v>0</v>
      </c>
      <c r="AN103" s="24">
        <f t="shared" ca="1" si="64"/>
        <v>0</v>
      </c>
      <c r="AO103" s="24">
        <f t="shared" ca="1" si="64"/>
        <v>0</v>
      </c>
      <c r="AP103" s="24">
        <f t="shared" ca="1" si="64"/>
        <v>0</v>
      </c>
      <c r="AQ103" s="6"/>
      <c r="AR103" s="6"/>
      <c r="AS103" s="6"/>
      <c r="AT103" s="6"/>
      <c r="AU103" s="6"/>
      <c r="AV103" s="6"/>
      <c r="BB103" s="4">
        <f t="shared" si="62"/>
        <v>1</v>
      </c>
    </row>
    <row r="104" spans="1:54">
      <c r="A104" s="22" t="str">
        <f>'[6]TS BYDem'!A15</f>
        <v/>
      </c>
      <c r="B104" s="22" t="str">
        <f>'[6]TS BYDem'!B15</f>
        <v>COM_PROJ</v>
      </c>
      <c r="C104" s="22" t="str">
        <f>'[6]TS BYDem'!C15</f>
        <v>-</v>
      </c>
      <c r="D104" s="22" t="str">
        <f>'[6]TS BYDem'!D15</f>
        <v>RLEW</v>
      </c>
      <c r="E104" s="132" t="s">
        <v>137</v>
      </c>
      <c r="F104" s="132" t="s">
        <v>137</v>
      </c>
      <c r="G104" s="132" t="s">
        <v>137</v>
      </c>
      <c r="H104" s="132" t="s">
        <v>137</v>
      </c>
      <c r="I104" s="132">
        <v>0</v>
      </c>
      <c r="J104" s="6">
        <f>'[6]TS BYDem'!J15</f>
        <v>5.6499455804389198</v>
      </c>
      <c r="K104" s="24">
        <f t="shared" si="59"/>
        <v>6.0252615262969664</v>
      </c>
      <c r="L104" s="24">
        <f t="shared" si="57"/>
        <v>6.400577472155013</v>
      </c>
      <c r="M104" s="24">
        <f t="shared" si="57"/>
        <v>6.7758934180130606</v>
      </c>
      <c r="N104" s="24">
        <f t="shared" si="57"/>
        <v>7.1512093638711072</v>
      </c>
      <c r="O104" s="24">
        <f>'[6]TS BYDem'!O15</f>
        <v>7.5265253097291538</v>
      </c>
      <c r="P104" s="24">
        <f t="shared" ref="P104:AP104" ca="1" si="65">OFFSET(P$21,$BB104,$J$96)/OFFSET(O$21,$BB104,$J$96)*O104</f>
        <v>7.490665189322848</v>
      </c>
      <c r="Q104" s="24">
        <f t="shared" ca="1" si="65"/>
        <v>7.5220668307038121</v>
      </c>
      <c r="R104" s="24">
        <f t="shared" ca="1" si="65"/>
        <v>7.8055680843422071</v>
      </c>
      <c r="S104" s="24">
        <f t="shared" ca="1" si="65"/>
        <v>8.1129000387359334</v>
      </c>
      <c r="T104" s="24">
        <f t="shared" ca="1" si="65"/>
        <v>8.0813093682734856</v>
      </c>
      <c r="U104" s="24">
        <f t="shared" ca="1" si="65"/>
        <v>8.0496404788807663</v>
      </c>
      <c r="V104" s="24">
        <f t="shared" ca="1" si="65"/>
        <v>8.0154262151322087</v>
      </c>
      <c r="W104" s="24">
        <f t="shared" ca="1" si="65"/>
        <v>7.9870164478340397</v>
      </c>
      <c r="X104" s="24">
        <f t="shared" ca="1" si="65"/>
        <v>7.9337460971986618</v>
      </c>
      <c r="Y104" s="24">
        <f t="shared" ca="1" si="65"/>
        <v>7.8680650096272471</v>
      </c>
      <c r="Z104" s="24">
        <f t="shared" ca="1" si="65"/>
        <v>7.8000862409791774</v>
      </c>
      <c r="AA104" s="24">
        <f t="shared" ca="1" si="65"/>
        <v>7.7169427772251789</v>
      </c>
      <c r="AB104" s="24">
        <f t="shared" ca="1" si="65"/>
        <v>7.6385217813861797</v>
      </c>
      <c r="AC104" s="24">
        <f t="shared" ca="1" si="65"/>
        <v>7.5501278719378639</v>
      </c>
      <c r="AD104" s="24">
        <f t="shared" ca="1" si="65"/>
        <v>7.4641945996709325</v>
      </c>
      <c r="AE104" s="24">
        <f t="shared" ca="1" si="65"/>
        <v>7.3746828113441882</v>
      </c>
      <c r="AF104" s="24">
        <f t="shared" ca="1" si="65"/>
        <v>7.2718868413600681</v>
      </c>
      <c r="AG104" s="24">
        <f t="shared" ca="1" si="65"/>
        <v>7.1596068260808163</v>
      </c>
      <c r="AH104" s="24">
        <f t="shared" ca="1" si="65"/>
        <v>7.049269247569911</v>
      </c>
      <c r="AI104" s="24">
        <f t="shared" ca="1" si="65"/>
        <v>6.9431848233923921</v>
      </c>
      <c r="AJ104" s="24">
        <f t="shared" ca="1" si="65"/>
        <v>6.8411026011469813</v>
      </c>
      <c r="AK104" s="24">
        <f t="shared" ca="1" si="65"/>
        <v>6.7418004100482145</v>
      </c>
      <c r="AL104" s="24">
        <f t="shared" ca="1" si="65"/>
        <v>6.6402429064600232</v>
      </c>
      <c r="AM104" s="24">
        <f t="shared" ca="1" si="65"/>
        <v>6.1346129273456533</v>
      </c>
      <c r="AN104" s="24">
        <f t="shared" ca="1" si="65"/>
        <v>5.6205027125412723</v>
      </c>
      <c r="AO104" s="24">
        <f t="shared" ca="1" si="65"/>
        <v>5.6205027125412723</v>
      </c>
      <c r="AP104" s="24">
        <f t="shared" ca="1" si="65"/>
        <v>5.6205027125412723</v>
      </c>
      <c r="AQ104" s="6"/>
      <c r="AR104" s="6"/>
      <c r="AS104" s="6"/>
      <c r="AT104" s="6"/>
      <c r="AU104" s="6"/>
      <c r="AV104" s="6"/>
      <c r="BB104" s="4">
        <f t="shared" si="62"/>
        <v>1</v>
      </c>
    </row>
    <row r="105" spans="1:54">
      <c r="A105" s="22" t="str">
        <f>'[6]TS BYDem'!A16</f>
        <v/>
      </c>
      <c r="B105" s="22" t="str">
        <f>'[6]TS BYDem'!B16</f>
        <v>COM_PROJ</v>
      </c>
      <c r="C105" s="22" t="str">
        <f>'[6]TS BYDem'!C16</f>
        <v>-</v>
      </c>
      <c r="D105" s="22" t="str">
        <f>'[6]TS BYDem'!D16</f>
        <v>RLER</v>
      </c>
      <c r="E105" s="132" t="s">
        <v>137</v>
      </c>
      <c r="F105" s="132" t="s">
        <v>137</v>
      </c>
      <c r="G105" s="132" t="s">
        <v>137</v>
      </c>
      <c r="H105" s="132" t="s">
        <v>137</v>
      </c>
      <c r="I105" s="132">
        <v>0</v>
      </c>
      <c r="J105" s="6">
        <f>'[6]TS BYDem'!J16</f>
        <v>1.4353020960038052</v>
      </c>
      <c r="K105" s="24">
        <f t="shared" si="59"/>
        <v>1.6984088756600515</v>
      </c>
      <c r="L105" s="24">
        <f t="shared" si="57"/>
        <v>1.9615156553162976</v>
      </c>
      <c r="M105" s="24">
        <f t="shared" si="57"/>
        <v>2.2246224349725439</v>
      </c>
      <c r="N105" s="24">
        <f t="shared" si="57"/>
        <v>2.4877292146287902</v>
      </c>
      <c r="O105" s="24">
        <f>'[6]TS BYDem'!O16</f>
        <v>2.7508359942850364</v>
      </c>
      <c r="P105" s="24">
        <f t="shared" ref="P105:AP105" ca="1" si="66">OFFSET(P$21,$BB105,$J$96)/OFFSET(O$21,$BB105,$J$96)*O105</f>
        <v>2.7377296396374877</v>
      </c>
      <c r="Q105" s="24">
        <f t="shared" ca="1" si="66"/>
        <v>2.7492064847732807</v>
      </c>
      <c r="R105" s="24">
        <f t="shared" ca="1" si="66"/>
        <v>2.8528220870386893</v>
      </c>
      <c r="S105" s="24">
        <f t="shared" ca="1" si="66"/>
        <v>2.9651474652909089</v>
      </c>
      <c r="T105" s="24">
        <f t="shared" ca="1" si="66"/>
        <v>2.9536015327635359</v>
      </c>
      <c r="U105" s="24">
        <f t="shared" ca="1" si="66"/>
        <v>2.9420270123499908</v>
      </c>
      <c r="V105" s="24">
        <f t="shared" ca="1" si="66"/>
        <v>2.9295221944739605</v>
      </c>
      <c r="W105" s="24">
        <f t="shared" ca="1" si="66"/>
        <v>2.9191388359842141</v>
      </c>
      <c r="X105" s="24">
        <f t="shared" ca="1" si="66"/>
        <v>2.8996692943397369</v>
      </c>
      <c r="Y105" s="24">
        <f t="shared" ca="1" si="66"/>
        <v>2.8756638080894374</v>
      </c>
      <c r="Z105" s="24">
        <f t="shared" ca="1" si="66"/>
        <v>2.8508185526828607</v>
      </c>
      <c r="AA105" s="24">
        <f t="shared" ca="1" si="66"/>
        <v>2.8204308208448525</v>
      </c>
      <c r="AB105" s="24">
        <f t="shared" ca="1" si="66"/>
        <v>2.7917690826344272</v>
      </c>
      <c r="AC105" s="24">
        <f t="shared" ca="1" si="66"/>
        <v>2.7594623889371803</v>
      </c>
      <c r="AD105" s="24">
        <f t="shared" ca="1" si="66"/>
        <v>2.7280550224924007</v>
      </c>
      <c r="AE105" s="24">
        <f t="shared" ca="1" si="66"/>
        <v>2.6953397602552909</v>
      </c>
      <c r="AF105" s="24">
        <f t="shared" ca="1" si="66"/>
        <v>2.6577693220167808</v>
      </c>
      <c r="AG105" s="24">
        <f t="shared" ca="1" si="66"/>
        <v>2.6167326025800195</v>
      </c>
      <c r="AH105" s="24">
        <f t="shared" ca="1" si="66"/>
        <v>2.5764058156498404</v>
      </c>
      <c r="AI105" s="24">
        <f t="shared" ca="1" si="66"/>
        <v>2.5376334950302182</v>
      </c>
      <c r="AJ105" s="24">
        <f t="shared" ca="1" si="66"/>
        <v>2.5003239212530208</v>
      </c>
      <c r="AK105" s="24">
        <f t="shared" ca="1" si="66"/>
        <v>2.4640304085968219</v>
      </c>
      <c r="AL105" s="24">
        <f t="shared" ca="1" si="66"/>
        <v>2.4269126118893554</v>
      </c>
      <c r="AM105" s="24">
        <f t="shared" ca="1" si="66"/>
        <v>2.2421121775455757</v>
      </c>
      <c r="AN105" s="24">
        <f t="shared" ca="1" si="66"/>
        <v>2.0542123398760741</v>
      </c>
      <c r="AO105" s="24">
        <f t="shared" ca="1" si="66"/>
        <v>2.0542123398760741</v>
      </c>
      <c r="AP105" s="24">
        <f t="shared" ca="1" si="66"/>
        <v>2.0542123398760741</v>
      </c>
      <c r="AQ105" s="6"/>
      <c r="AR105" s="6"/>
      <c r="AS105" s="6"/>
      <c r="AT105" s="6"/>
      <c r="AU105" s="6"/>
      <c r="AV105" s="6"/>
      <c r="BB105" s="4">
        <f t="shared" si="62"/>
        <v>1</v>
      </c>
    </row>
    <row r="106" spans="1:54">
      <c r="A106" s="22" t="str">
        <f>'[6]TS BYDem'!A17</f>
        <v/>
      </c>
      <c r="B106" s="22" t="str">
        <f>'[6]TS BYDem'!B17</f>
        <v>COM_PROJ</v>
      </c>
      <c r="C106" s="22" t="str">
        <f>'[6]TS BYDem'!C17</f>
        <v>-</v>
      </c>
      <c r="D106" s="22" t="str">
        <f>'[6]TS BYDem'!D17</f>
        <v>RLEO</v>
      </c>
      <c r="E106" s="132" t="s">
        <v>137</v>
      </c>
      <c r="F106" s="132" t="s">
        <v>137</v>
      </c>
      <c r="G106" s="132" t="s">
        <v>137</v>
      </c>
      <c r="H106" s="132" t="s">
        <v>137</v>
      </c>
      <c r="I106" s="132">
        <v>0</v>
      </c>
      <c r="J106" s="6">
        <f>'[6]TS BYDem'!J17</f>
        <v>1.9878001092508091</v>
      </c>
      <c r="K106" s="24">
        <f t="shared" si="59"/>
        <v>2.1565691406754266</v>
      </c>
      <c r="L106" s="24">
        <f t="shared" si="57"/>
        <v>2.3253381721000443</v>
      </c>
      <c r="M106" s="24">
        <f t="shared" si="57"/>
        <v>2.4941072035246621</v>
      </c>
      <c r="N106" s="24">
        <f t="shared" si="57"/>
        <v>2.6628762349492798</v>
      </c>
      <c r="O106" s="24">
        <f>'[6]TS BYDem'!O17</f>
        <v>2.8316452663738976</v>
      </c>
      <c r="P106" s="24">
        <f t="shared" ref="P106:AP106" ca="1" si="67">OFFSET(P$21,$BB106,$J$96)/OFFSET(O$21,$BB106,$J$96)*O106</f>
        <v>2.818153896050748</v>
      </c>
      <c r="Q106" s="24">
        <f t="shared" ca="1" si="67"/>
        <v>2.8299678879678201</v>
      </c>
      <c r="R106" s="24">
        <f t="shared" ca="1" si="67"/>
        <v>2.9366273290565945</v>
      </c>
      <c r="S106" s="24">
        <f t="shared" ca="1" si="67"/>
        <v>3.0522524067720047</v>
      </c>
      <c r="T106" s="24">
        <f t="shared" ca="1" si="67"/>
        <v>3.0403672979342073</v>
      </c>
      <c r="U106" s="24">
        <f t="shared" ca="1" si="67"/>
        <v>3.0284527614050742</v>
      </c>
      <c r="V106" s="24">
        <f t="shared" ca="1" si="67"/>
        <v>3.0155805987537589</v>
      </c>
      <c r="W106" s="24">
        <f t="shared" ca="1" si="67"/>
        <v>3.0048922160302389</v>
      </c>
      <c r="X106" s="24">
        <f t="shared" ca="1" si="67"/>
        <v>2.9848507320775099</v>
      </c>
      <c r="Y106" s="24">
        <f t="shared" ca="1" si="67"/>
        <v>2.9601400544330101</v>
      </c>
      <c r="Z106" s="24">
        <f t="shared" ca="1" si="67"/>
        <v>2.9345649383555541</v>
      </c>
      <c r="AA106" s="24">
        <f t="shared" ca="1" si="67"/>
        <v>2.9032845286205853</v>
      </c>
      <c r="AB106" s="24">
        <f t="shared" ca="1" si="67"/>
        <v>2.8737808157499485</v>
      </c>
      <c r="AC106" s="24">
        <f t="shared" ca="1" si="67"/>
        <v>2.8405250722341386</v>
      </c>
      <c r="AD106" s="24">
        <f t="shared" ca="1" si="67"/>
        <v>2.8081950748415658</v>
      </c>
      <c r="AE106" s="24">
        <f t="shared" ca="1" si="67"/>
        <v>2.7745187605704311</v>
      </c>
      <c r="AF106" s="24">
        <f t="shared" ca="1" si="67"/>
        <v>2.7358446433876216</v>
      </c>
      <c r="AG106" s="24">
        <f t="shared" ca="1" si="67"/>
        <v>2.6936024186304817</v>
      </c>
      <c r="AH106" s="24">
        <f t="shared" ca="1" si="67"/>
        <v>2.6520909815414848</v>
      </c>
      <c r="AI106" s="24">
        <f t="shared" ca="1" si="67"/>
        <v>2.6121796751688127</v>
      </c>
      <c r="AJ106" s="24">
        <f t="shared" ca="1" si="67"/>
        <v>2.5737740856694336</v>
      </c>
      <c r="AK106" s="24">
        <f t="shared" ca="1" si="67"/>
        <v>2.5364144053662399</v>
      </c>
      <c r="AL106" s="24">
        <f t="shared" ca="1" si="67"/>
        <v>2.4982062266295633</v>
      </c>
      <c r="AM106" s="24">
        <f t="shared" ca="1" si="67"/>
        <v>2.3079770467654939</v>
      </c>
      <c r="AN106" s="24">
        <f t="shared" ca="1" si="67"/>
        <v>2.1145574146992225</v>
      </c>
      <c r="AO106" s="24">
        <f t="shared" ca="1" si="67"/>
        <v>2.1145574146992225</v>
      </c>
      <c r="AP106" s="24">
        <f t="shared" ca="1" si="67"/>
        <v>2.1145574146992225</v>
      </c>
      <c r="AQ106" s="6"/>
      <c r="AR106" s="6"/>
      <c r="AS106" s="6"/>
      <c r="AT106" s="6"/>
      <c r="AU106" s="6"/>
      <c r="AV106" s="6"/>
      <c r="BB106" s="4">
        <f t="shared" si="62"/>
        <v>1</v>
      </c>
    </row>
    <row r="107" spans="1:54">
      <c r="A107" s="22" t="str">
        <f>'[6]TS BYDem'!A18</f>
        <v>*</v>
      </c>
      <c r="B107" s="22" t="str">
        <f>'[6]TS BYDem'!B18</f>
        <v>COM_PROJ</v>
      </c>
      <c r="C107" s="22" t="str">
        <f>'[6]TS BYDem'!C18</f>
        <v>-</v>
      </c>
      <c r="D107" s="22">
        <f>'[6]TS BYDem'!D18</f>
        <v>0</v>
      </c>
      <c r="E107" s="132" t="s">
        <v>137</v>
      </c>
      <c r="F107" s="132" t="s">
        <v>137</v>
      </c>
      <c r="G107" s="132" t="s">
        <v>137</v>
      </c>
      <c r="H107" s="132" t="s">
        <v>137</v>
      </c>
      <c r="I107" s="132">
        <v>0</v>
      </c>
      <c r="J107" s="6">
        <f>'[6]TS BYDem'!J18</f>
        <v>0</v>
      </c>
      <c r="K107" s="24">
        <f t="shared" si="59"/>
        <v>0</v>
      </c>
      <c r="L107" s="24">
        <f t="shared" si="57"/>
        <v>0</v>
      </c>
      <c r="M107" s="24">
        <f t="shared" si="57"/>
        <v>0</v>
      </c>
      <c r="N107" s="24">
        <f t="shared" si="57"/>
        <v>0</v>
      </c>
      <c r="O107" s="24">
        <f>'[6]TS BYDem'!O18</f>
        <v>0</v>
      </c>
      <c r="P107" s="24" t="e">
        <f t="shared" ref="P107:AP107" ca="1" si="68">OFFSET(P$33,$BB107,$J$96)/OFFSET(O$33,$BB107,$J$96)*O107</f>
        <v>#N/A</v>
      </c>
      <c r="Q107" s="24" t="e">
        <f t="shared" ca="1" si="68"/>
        <v>#N/A</v>
      </c>
      <c r="R107" s="24" t="e">
        <f t="shared" ca="1" si="68"/>
        <v>#N/A</v>
      </c>
      <c r="S107" s="24" t="e">
        <f t="shared" ca="1" si="68"/>
        <v>#N/A</v>
      </c>
      <c r="T107" s="24" t="e">
        <f t="shared" ca="1" si="68"/>
        <v>#N/A</v>
      </c>
      <c r="U107" s="24" t="e">
        <f t="shared" ca="1" si="68"/>
        <v>#N/A</v>
      </c>
      <c r="V107" s="24" t="e">
        <f t="shared" ca="1" si="68"/>
        <v>#N/A</v>
      </c>
      <c r="W107" s="24" t="e">
        <f t="shared" ca="1" si="68"/>
        <v>#N/A</v>
      </c>
      <c r="X107" s="24" t="e">
        <f t="shared" ca="1" si="68"/>
        <v>#N/A</v>
      </c>
      <c r="Y107" s="24" t="e">
        <f t="shared" ca="1" si="68"/>
        <v>#N/A</v>
      </c>
      <c r="Z107" s="24" t="e">
        <f t="shared" ca="1" si="68"/>
        <v>#N/A</v>
      </c>
      <c r="AA107" s="24" t="e">
        <f t="shared" ca="1" si="68"/>
        <v>#N/A</v>
      </c>
      <c r="AB107" s="24" t="e">
        <f t="shared" ca="1" si="68"/>
        <v>#N/A</v>
      </c>
      <c r="AC107" s="24" t="e">
        <f t="shared" ca="1" si="68"/>
        <v>#N/A</v>
      </c>
      <c r="AD107" s="24" t="e">
        <f t="shared" ca="1" si="68"/>
        <v>#N/A</v>
      </c>
      <c r="AE107" s="24" t="e">
        <f t="shared" ca="1" si="68"/>
        <v>#N/A</v>
      </c>
      <c r="AF107" s="24" t="e">
        <f t="shared" ca="1" si="68"/>
        <v>#N/A</v>
      </c>
      <c r="AG107" s="24" t="e">
        <f t="shared" ca="1" si="68"/>
        <v>#N/A</v>
      </c>
      <c r="AH107" s="24" t="e">
        <f t="shared" ca="1" si="68"/>
        <v>#N/A</v>
      </c>
      <c r="AI107" s="24" t="e">
        <f t="shared" ca="1" si="68"/>
        <v>#N/A</v>
      </c>
      <c r="AJ107" s="24" t="e">
        <f t="shared" ca="1" si="68"/>
        <v>#N/A</v>
      </c>
      <c r="AK107" s="24" t="e">
        <f t="shared" ca="1" si="68"/>
        <v>#N/A</v>
      </c>
      <c r="AL107" s="24" t="e">
        <f t="shared" ca="1" si="68"/>
        <v>#N/A</v>
      </c>
      <c r="AM107" s="24" t="e">
        <f t="shared" ca="1" si="68"/>
        <v>#N/A</v>
      </c>
      <c r="AN107" s="24" t="e">
        <f t="shared" ca="1" si="68"/>
        <v>#N/A</v>
      </c>
      <c r="AO107" s="24" t="e">
        <f t="shared" ca="1" si="68"/>
        <v>#N/A</v>
      </c>
      <c r="AP107" s="24" t="e">
        <f t="shared" ca="1" si="68"/>
        <v>#N/A</v>
      </c>
      <c r="AQ107" s="6"/>
      <c r="AR107" s="6"/>
      <c r="AS107" s="6"/>
      <c r="AT107" s="6"/>
      <c r="AU107" s="6"/>
      <c r="AV107" s="6"/>
      <c r="BB107" s="4" t="e">
        <f t="shared" si="62"/>
        <v>#N/A</v>
      </c>
    </row>
    <row r="108" spans="1:54">
      <c r="A108" s="22" t="str">
        <f>'[6]TS BYDem'!A19</f>
        <v>*</v>
      </c>
      <c r="B108" s="22" t="str">
        <f>'[6]TS BYDem'!B19</f>
        <v>COM_PROJ</v>
      </c>
      <c r="C108" s="22" t="str">
        <f>'[6]TS BYDem'!C19</f>
        <v>-</v>
      </c>
      <c r="D108" s="22">
        <f>'[6]TS BYDem'!D19</f>
        <v>0</v>
      </c>
      <c r="E108" s="132" t="s">
        <v>137</v>
      </c>
      <c r="F108" s="132" t="s">
        <v>137</v>
      </c>
      <c r="G108" s="132" t="s">
        <v>137</v>
      </c>
      <c r="H108" s="132" t="s">
        <v>137</v>
      </c>
      <c r="I108" s="132">
        <v>0</v>
      </c>
      <c r="J108" s="6">
        <f>'[6]TS BYDem'!J19</f>
        <v>0</v>
      </c>
      <c r="K108" s="24">
        <f t="shared" si="59"/>
        <v>0</v>
      </c>
      <c r="L108" s="24">
        <f t="shared" si="57"/>
        <v>0</v>
      </c>
      <c r="M108" s="24">
        <f t="shared" si="57"/>
        <v>0</v>
      </c>
      <c r="N108" s="24">
        <f t="shared" si="57"/>
        <v>0</v>
      </c>
      <c r="O108" s="24">
        <f>'[6]TS BYDem'!O19</f>
        <v>0</v>
      </c>
      <c r="P108" s="24" t="e">
        <f t="shared" ref="P108:AP108" ca="1" si="69">OFFSET(P$33,$BB108,$J$96)/OFFSET(O$33,$BB108,$J$96)*O108</f>
        <v>#N/A</v>
      </c>
      <c r="Q108" s="24" t="e">
        <f t="shared" ca="1" si="69"/>
        <v>#N/A</v>
      </c>
      <c r="R108" s="24" t="e">
        <f t="shared" ca="1" si="69"/>
        <v>#N/A</v>
      </c>
      <c r="S108" s="24" t="e">
        <f t="shared" ca="1" si="69"/>
        <v>#N/A</v>
      </c>
      <c r="T108" s="24" t="e">
        <f t="shared" ca="1" si="69"/>
        <v>#N/A</v>
      </c>
      <c r="U108" s="24" t="e">
        <f t="shared" ca="1" si="69"/>
        <v>#N/A</v>
      </c>
      <c r="V108" s="24" t="e">
        <f t="shared" ca="1" si="69"/>
        <v>#N/A</v>
      </c>
      <c r="W108" s="24" t="e">
        <f t="shared" ca="1" si="69"/>
        <v>#N/A</v>
      </c>
      <c r="X108" s="24" t="e">
        <f t="shared" ca="1" si="69"/>
        <v>#N/A</v>
      </c>
      <c r="Y108" s="24" t="e">
        <f t="shared" ca="1" si="69"/>
        <v>#N/A</v>
      </c>
      <c r="Z108" s="24" t="e">
        <f t="shared" ca="1" si="69"/>
        <v>#N/A</v>
      </c>
      <c r="AA108" s="24" t="e">
        <f t="shared" ca="1" si="69"/>
        <v>#N/A</v>
      </c>
      <c r="AB108" s="24" t="e">
        <f t="shared" ca="1" si="69"/>
        <v>#N/A</v>
      </c>
      <c r="AC108" s="24" t="e">
        <f t="shared" ca="1" si="69"/>
        <v>#N/A</v>
      </c>
      <c r="AD108" s="24" t="e">
        <f t="shared" ca="1" si="69"/>
        <v>#N/A</v>
      </c>
      <c r="AE108" s="24" t="e">
        <f t="shared" ca="1" si="69"/>
        <v>#N/A</v>
      </c>
      <c r="AF108" s="24" t="e">
        <f t="shared" ca="1" si="69"/>
        <v>#N/A</v>
      </c>
      <c r="AG108" s="24" t="e">
        <f t="shared" ca="1" si="69"/>
        <v>#N/A</v>
      </c>
      <c r="AH108" s="24" t="e">
        <f t="shared" ca="1" si="69"/>
        <v>#N/A</v>
      </c>
      <c r="AI108" s="24" t="e">
        <f t="shared" ca="1" si="69"/>
        <v>#N/A</v>
      </c>
      <c r="AJ108" s="24" t="e">
        <f t="shared" ca="1" si="69"/>
        <v>#N/A</v>
      </c>
      <c r="AK108" s="24" t="e">
        <f t="shared" ca="1" si="69"/>
        <v>#N/A</v>
      </c>
      <c r="AL108" s="24" t="e">
        <f t="shared" ca="1" si="69"/>
        <v>#N/A</v>
      </c>
      <c r="AM108" s="24" t="e">
        <f t="shared" ca="1" si="69"/>
        <v>#N/A</v>
      </c>
      <c r="AN108" s="24" t="e">
        <f t="shared" ca="1" si="69"/>
        <v>#N/A</v>
      </c>
      <c r="AO108" s="24" t="e">
        <f t="shared" ca="1" si="69"/>
        <v>#N/A</v>
      </c>
      <c r="AP108" s="24" t="e">
        <f t="shared" ca="1" si="69"/>
        <v>#N/A</v>
      </c>
      <c r="AQ108" s="6"/>
      <c r="AR108" s="6"/>
      <c r="AS108" s="6"/>
      <c r="AT108" s="6"/>
      <c r="AU108" s="6"/>
      <c r="AV108" s="6"/>
      <c r="BB108" s="4" t="e">
        <f t="shared" si="62"/>
        <v>#N/A</v>
      </c>
    </row>
    <row r="109" spans="1:54">
      <c r="A109" s="22" t="str">
        <f>'[6]TS BYDem'!A20</f>
        <v>*</v>
      </c>
      <c r="B109" s="22" t="str">
        <f>'[6]TS BYDem'!B20</f>
        <v>COM_PROJ</v>
      </c>
      <c r="C109" s="22" t="str">
        <f>'[6]TS BYDem'!C20</f>
        <v>-</v>
      </c>
      <c r="D109" s="22">
        <f>'[6]TS BYDem'!D20</f>
        <v>0</v>
      </c>
      <c r="E109" s="132" t="s">
        <v>137</v>
      </c>
      <c r="F109" s="132" t="s">
        <v>137</v>
      </c>
      <c r="G109" s="132" t="s">
        <v>137</v>
      </c>
      <c r="H109" s="132" t="s">
        <v>137</v>
      </c>
      <c r="I109" s="132">
        <v>0</v>
      </c>
      <c r="J109" s="6">
        <f>'[6]TS BYDem'!J20</f>
        <v>0</v>
      </c>
      <c r="K109" s="24">
        <f t="shared" si="59"/>
        <v>0</v>
      </c>
      <c r="L109" s="24">
        <f t="shared" si="57"/>
        <v>0</v>
      </c>
      <c r="M109" s="24">
        <f t="shared" si="57"/>
        <v>0</v>
      </c>
      <c r="N109" s="24">
        <f t="shared" si="57"/>
        <v>0</v>
      </c>
      <c r="O109" s="24">
        <f>'[6]TS BYDem'!O20</f>
        <v>0</v>
      </c>
      <c r="P109" s="24" t="e">
        <f t="shared" ref="P109:AP109" ca="1" si="70">OFFSET(P$33,$BB109,$J$96)/OFFSET(O$33,$BB109,$J$96)*O109</f>
        <v>#N/A</v>
      </c>
      <c r="Q109" s="24" t="e">
        <f t="shared" ca="1" si="70"/>
        <v>#N/A</v>
      </c>
      <c r="R109" s="24" t="e">
        <f t="shared" ca="1" si="70"/>
        <v>#N/A</v>
      </c>
      <c r="S109" s="24" t="e">
        <f t="shared" ca="1" si="70"/>
        <v>#N/A</v>
      </c>
      <c r="T109" s="24" t="e">
        <f t="shared" ca="1" si="70"/>
        <v>#N/A</v>
      </c>
      <c r="U109" s="24" t="e">
        <f t="shared" ca="1" si="70"/>
        <v>#N/A</v>
      </c>
      <c r="V109" s="24" t="e">
        <f t="shared" ca="1" si="70"/>
        <v>#N/A</v>
      </c>
      <c r="W109" s="24" t="e">
        <f t="shared" ca="1" si="70"/>
        <v>#N/A</v>
      </c>
      <c r="X109" s="24" t="e">
        <f t="shared" ca="1" si="70"/>
        <v>#N/A</v>
      </c>
      <c r="Y109" s="24" t="e">
        <f t="shared" ca="1" si="70"/>
        <v>#N/A</v>
      </c>
      <c r="Z109" s="24" t="e">
        <f t="shared" ca="1" si="70"/>
        <v>#N/A</v>
      </c>
      <c r="AA109" s="24" t="e">
        <f t="shared" ca="1" si="70"/>
        <v>#N/A</v>
      </c>
      <c r="AB109" s="24" t="e">
        <f t="shared" ca="1" si="70"/>
        <v>#N/A</v>
      </c>
      <c r="AC109" s="24" t="e">
        <f t="shared" ca="1" si="70"/>
        <v>#N/A</v>
      </c>
      <c r="AD109" s="24" t="e">
        <f t="shared" ca="1" si="70"/>
        <v>#N/A</v>
      </c>
      <c r="AE109" s="24" t="e">
        <f t="shared" ca="1" si="70"/>
        <v>#N/A</v>
      </c>
      <c r="AF109" s="24" t="e">
        <f t="shared" ca="1" si="70"/>
        <v>#N/A</v>
      </c>
      <c r="AG109" s="24" t="e">
        <f t="shared" ca="1" si="70"/>
        <v>#N/A</v>
      </c>
      <c r="AH109" s="24" t="e">
        <f t="shared" ca="1" si="70"/>
        <v>#N/A</v>
      </c>
      <c r="AI109" s="24" t="e">
        <f t="shared" ca="1" si="70"/>
        <v>#N/A</v>
      </c>
      <c r="AJ109" s="24" t="e">
        <f t="shared" ca="1" si="70"/>
        <v>#N/A</v>
      </c>
      <c r="AK109" s="24" t="e">
        <f t="shared" ca="1" si="70"/>
        <v>#N/A</v>
      </c>
      <c r="AL109" s="24" t="e">
        <f t="shared" ca="1" si="70"/>
        <v>#N/A</v>
      </c>
      <c r="AM109" s="24" t="e">
        <f t="shared" ca="1" si="70"/>
        <v>#N/A</v>
      </c>
      <c r="AN109" s="24" t="e">
        <f t="shared" ca="1" si="70"/>
        <v>#N/A</v>
      </c>
      <c r="AO109" s="24" t="e">
        <f t="shared" ca="1" si="70"/>
        <v>#N/A</v>
      </c>
      <c r="AP109" s="24" t="e">
        <f t="shared" ca="1" si="70"/>
        <v>#N/A</v>
      </c>
      <c r="AQ109" s="6"/>
      <c r="AR109" s="6"/>
      <c r="AS109" s="6"/>
      <c r="AT109" s="6"/>
      <c r="AU109" s="6"/>
      <c r="AV109" s="6"/>
      <c r="BB109" s="4" t="e">
        <f t="shared" si="62"/>
        <v>#N/A</v>
      </c>
    </row>
    <row r="110" spans="1:54">
      <c r="A110" s="22" t="str">
        <f>'[6]TS BYDem'!A21</f>
        <v/>
      </c>
      <c r="B110" s="22" t="str">
        <f>'[6]TS BYDem'!B21</f>
        <v>COM_PROJ</v>
      </c>
      <c r="C110" s="22" t="str">
        <f>'[6]TS BYDem'!C21</f>
        <v>-</v>
      </c>
      <c r="D110" s="22" t="str">
        <f>'[6]TS BYDem'!D21</f>
        <v>RMEL</v>
      </c>
      <c r="E110" s="132" t="s">
        <v>137</v>
      </c>
      <c r="F110" s="132" t="s">
        <v>137</v>
      </c>
      <c r="G110" s="132" t="s">
        <v>137</v>
      </c>
      <c r="H110" s="132" t="s">
        <v>137</v>
      </c>
      <c r="I110" s="132">
        <v>0</v>
      </c>
      <c r="J110" s="6">
        <f>'[6]TS BYDem'!J21</f>
        <v>16.048248534198041</v>
      </c>
      <c r="K110" s="24">
        <f t="shared" si="59"/>
        <v>17.585213087537426</v>
      </c>
      <c r="L110" s="24">
        <f t="shared" si="57"/>
        <v>19.12217764087681</v>
      </c>
      <c r="M110" s="24">
        <f t="shared" si="57"/>
        <v>20.659142194216194</v>
      </c>
      <c r="N110" s="24">
        <f t="shared" si="57"/>
        <v>22.196106747555582</v>
      </c>
      <c r="O110" s="24">
        <f>'[6]TS BYDem'!O21</f>
        <v>23.733071300894967</v>
      </c>
      <c r="P110" s="24">
        <f t="shared" ref="P110:AP110" ca="1" si="71">OFFSET(P$33,$BB110,$J$96)/OFFSET(O$33,$BB110,$J$96)*O110</f>
        <v>24.217536024224859</v>
      </c>
      <c r="Q110" s="24">
        <f t="shared" ca="1" si="71"/>
        <v>24.682026564808769</v>
      </c>
      <c r="R110" s="24">
        <f t="shared" ca="1" si="71"/>
        <v>25.830171010809998</v>
      </c>
      <c r="S110" s="24">
        <f t="shared" ca="1" si="71"/>
        <v>24.711111501265762</v>
      </c>
      <c r="T110" s="24">
        <f t="shared" ca="1" si="71"/>
        <v>25.119532221350859</v>
      </c>
      <c r="U110" s="24">
        <f t="shared" ca="1" si="71"/>
        <v>25.496057408513508</v>
      </c>
      <c r="V110" s="24">
        <f t="shared" ca="1" si="71"/>
        <v>25.90919929906584</v>
      </c>
      <c r="W110" s="24">
        <f t="shared" ca="1" si="71"/>
        <v>26.315646285678014</v>
      </c>
      <c r="X110" s="24">
        <f t="shared" ca="1" si="71"/>
        <v>26.689834572408728</v>
      </c>
      <c r="Y110" s="24">
        <f t="shared" ca="1" si="71"/>
        <v>27.134824626280153</v>
      </c>
      <c r="Z110" s="24">
        <f t="shared" ca="1" si="71"/>
        <v>27.565382740997556</v>
      </c>
      <c r="AA110" s="24">
        <f t="shared" ca="1" si="71"/>
        <v>27.977577239482887</v>
      </c>
      <c r="AB110" s="24">
        <f t="shared" ca="1" si="71"/>
        <v>28.464994668088273</v>
      </c>
      <c r="AC110" s="24">
        <f t="shared" ca="1" si="71"/>
        <v>28.865488874546113</v>
      </c>
      <c r="AD110" s="24">
        <f t="shared" ca="1" si="71"/>
        <v>29.351927331348932</v>
      </c>
      <c r="AE110" s="24">
        <f t="shared" ca="1" si="71"/>
        <v>29.784490759274835</v>
      </c>
      <c r="AF110" s="24">
        <f t="shared" ca="1" si="71"/>
        <v>30.236333615764245</v>
      </c>
      <c r="AG110" s="24">
        <f t="shared" ca="1" si="71"/>
        <v>30.69262921496858</v>
      </c>
      <c r="AH110" s="24">
        <f t="shared" ca="1" si="71"/>
        <v>31.186046793331649</v>
      </c>
      <c r="AI110" s="24">
        <f t="shared" ca="1" si="71"/>
        <v>31.660958646652588</v>
      </c>
      <c r="AJ110" s="24">
        <f t="shared" ca="1" si="71"/>
        <v>32.147444473058762</v>
      </c>
      <c r="AK110" s="24">
        <f t="shared" ca="1" si="71"/>
        <v>32.621977369552901</v>
      </c>
      <c r="AL110" s="24">
        <f t="shared" ca="1" si="71"/>
        <v>33.093478611432637</v>
      </c>
      <c r="AM110" s="24">
        <f t="shared" ca="1" si="71"/>
        <v>35.503028225045341</v>
      </c>
      <c r="AN110" s="24">
        <f t="shared" ca="1" si="71"/>
        <v>37.972153009804771</v>
      </c>
      <c r="AO110" s="24">
        <f t="shared" ca="1" si="71"/>
        <v>37.972153009804771</v>
      </c>
      <c r="AP110" s="24">
        <f t="shared" ca="1" si="71"/>
        <v>37.972153009804771</v>
      </c>
      <c r="AQ110" s="6"/>
      <c r="AR110" s="6"/>
      <c r="AS110" s="226"/>
      <c r="AT110" s="226"/>
      <c r="AU110" s="6"/>
      <c r="AV110" s="6"/>
      <c r="BB110" s="4">
        <f t="shared" si="62"/>
        <v>2</v>
      </c>
    </row>
    <row r="111" spans="1:54" s="302" customFormat="1">
      <c r="A111" s="298" t="str">
        <f>'[6]TS BYDem'!A22</f>
        <v/>
      </c>
      <c r="B111" s="298" t="str">
        <f>'[6]TS BYDem'!B22</f>
        <v>COM_PROJ</v>
      </c>
      <c r="C111" s="298" t="str">
        <f>'[6]TS BYDem'!C22</f>
        <v>-</v>
      </c>
      <c r="D111" s="298" t="str">
        <f>'[6]TS BYDem'!D22</f>
        <v>RMNL</v>
      </c>
      <c r="E111" s="299" t="s">
        <v>137</v>
      </c>
      <c r="F111" s="299" t="s">
        <v>137</v>
      </c>
      <c r="G111" s="299" t="s">
        <v>137</v>
      </c>
      <c r="H111" s="299" t="s">
        <v>137</v>
      </c>
      <c r="I111" s="299">
        <v>0</v>
      </c>
      <c r="J111" s="300">
        <f>'[6]TS BYDem'!J22</f>
        <v>3.3422499241462768E-2</v>
      </c>
      <c r="K111" s="301">
        <f t="shared" si="59"/>
        <v>4.0702012494378374E-2</v>
      </c>
      <c r="L111" s="301">
        <f t="shared" si="57"/>
        <v>4.7981525747293988E-2</v>
      </c>
      <c r="M111" s="301">
        <f t="shared" si="57"/>
        <v>5.5261039000209594E-2</v>
      </c>
      <c r="N111" s="301">
        <f t="shared" si="57"/>
        <v>6.2540552253125201E-2</v>
      </c>
      <c r="O111" s="301">
        <f>'[6]TS BYDem'!O22</f>
        <v>6.9820065506040807E-2</v>
      </c>
      <c r="P111" s="24">
        <f t="shared" ref="P111:AP111" ca="1" si="72">OFFSET(P$33,$BB111,$J$96)/OFFSET(O$33,$BB111,$J$96)*O111</f>
        <v>7.1245307030385091E-2</v>
      </c>
      <c r="Q111" s="24">
        <f t="shared" ca="1" si="72"/>
        <v>7.261178672276615E-2</v>
      </c>
      <c r="R111" s="24">
        <f t="shared" ca="1" si="72"/>
        <v>7.5989500437685972E-2</v>
      </c>
      <c r="S111" s="24">
        <f t="shared" ca="1" si="72"/>
        <v>7.2697351382431163E-2</v>
      </c>
      <c r="T111" s="24">
        <f t="shared" ca="1" si="72"/>
        <v>7.3898879876945503E-2</v>
      </c>
      <c r="U111" s="24">
        <f t="shared" ca="1" si="72"/>
        <v>7.500657524848299E-2</v>
      </c>
      <c r="V111" s="24">
        <f t="shared" ca="1" si="72"/>
        <v>7.6221992903279551E-2</v>
      </c>
      <c r="W111" s="24">
        <f t="shared" ca="1" si="72"/>
        <v>7.7417714892659195E-2</v>
      </c>
      <c r="X111" s="24">
        <f t="shared" ca="1" si="72"/>
        <v>7.8518535362117212E-2</v>
      </c>
      <c r="Y111" s="24">
        <f t="shared" ca="1" si="72"/>
        <v>7.9827646783767386E-2</v>
      </c>
      <c r="Z111" s="24">
        <f t="shared" ca="1" si="72"/>
        <v>8.1094301039872571E-2</v>
      </c>
      <c r="AA111" s="24">
        <f t="shared" ca="1" si="72"/>
        <v>8.2306931572204478E-2</v>
      </c>
      <c r="AB111" s="24">
        <f t="shared" ca="1" si="72"/>
        <v>8.3740859628230274E-2</v>
      </c>
      <c r="AC111" s="24">
        <f t="shared" ca="1" si="72"/>
        <v>8.4919069198123642E-2</v>
      </c>
      <c r="AD111" s="24">
        <f t="shared" ca="1" si="72"/>
        <v>8.6350117227602635E-2</v>
      </c>
      <c r="AE111" s="24">
        <f t="shared" ca="1" si="72"/>
        <v>8.7622670892924706E-2</v>
      </c>
      <c r="AF111" s="24">
        <f t="shared" ca="1" si="72"/>
        <v>8.8951942500402559E-2</v>
      </c>
      <c r="AG111" s="24">
        <f t="shared" ca="1" si="72"/>
        <v>9.0294313583464347E-2</v>
      </c>
      <c r="AH111" s="24">
        <f t="shared" ca="1" si="72"/>
        <v>9.1745893415099644E-2</v>
      </c>
      <c r="AI111" s="24">
        <f t="shared" ca="1" si="72"/>
        <v>9.3143031454591949E-2</v>
      </c>
      <c r="AJ111" s="24">
        <f t="shared" ca="1" si="72"/>
        <v>9.4574218840194194E-2</v>
      </c>
      <c r="AK111" s="24">
        <f t="shared" ca="1" si="72"/>
        <v>9.597024203070062E-2</v>
      </c>
      <c r="AL111" s="24">
        <f t="shared" ca="1" si="72"/>
        <v>9.7357346429320174E-2</v>
      </c>
      <c r="AM111" s="24">
        <f t="shared" ca="1" si="72"/>
        <v>0.10444597434980976</v>
      </c>
      <c r="AN111" s="24">
        <f t="shared" ca="1" si="72"/>
        <v>0.11170986582128532</v>
      </c>
      <c r="AO111" s="24">
        <f t="shared" ca="1" si="72"/>
        <v>0.11170986582128532</v>
      </c>
      <c r="AP111" s="24">
        <f t="shared" ca="1" si="72"/>
        <v>0.11170986582128532</v>
      </c>
      <c r="AQ111" s="300"/>
      <c r="AR111" s="300"/>
      <c r="AS111" s="300"/>
      <c r="AT111" s="300"/>
      <c r="AU111" s="300"/>
      <c r="AV111" s="300"/>
      <c r="BB111" s="303">
        <v>2</v>
      </c>
    </row>
    <row r="112" spans="1:54">
      <c r="A112" s="22" t="str">
        <f>'[6]TS BYDem'!A23</f>
        <v/>
      </c>
      <c r="B112" s="22" t="str">
        <f>'[6]TS BYDem'!B23</f>
        <v>COM_PROJ</v>
      </c>
      <c r="C112" s="22" t="str">
        <f>'[6]TS BYDem'!C23</f>
        <v>-</v>
      </c>
      <c r="D112" s="22" t="str">
        <f>'[6]TS BYDem'!D23</f>
        <v>RMEK</v>
      </c>
      <c r="E112" s="132" t="s">
        <v>137</v>
      </c>
      <c r="F112" s="132" t="s">
        <v>137</v>
      </c>
      <c r="G112" s="132" t="s">
        <v>137</v>
      </c>
      <c r="H112" s="132" t="s">
        <v>137</v>
      </c>
      <c r="I112" s="132">
        <v>0</v>
      </c>
      <c r="J112" s="6">
        <f>'[6]TS BYDem'!J23</f>
        <v>9.0451133406280029</v>
      </c>
      <c r="K112" s="24">
        <f t="shared" si="59"/>
        <v>8.9402016286214678</v>
      </c>
      <c r="L112" s="24">
        <f t="shared" si="57"/>
        <v>8.8352899166149328</v>
      </c>
      <c r="M112" s="24">
        <f t="shared" si="57"/>
        <v>8.7303782046083978</v>
      </c>
      <c r="N112" s="24">
        <f t="shared" si="57"/>
        <v>8.6254664926018627</v>
      </c>
      <c r="O112" s="24">
        <f>'[6]TS BYDem'!O23</f>
        <v>8.5205547805953277</v>
      </c>
      <c r="P112" s="24">
        <f t="shared" ref="P112:AP112" ca="1" si="73">OFFSET(P$33,$BB112,$J$96)/OFFSET(O$33,$BB112,$J$96)*O112</f>
        <v>8.6944854178088367</v>
      </c>
      <c r="Q112" s="24">
        <f t="shared" ca="1" si="73"/>
        <v>8.861245001763919</v>
      </c>
      <c r="R112" s="24">
        <f t="shared" ca="1" si="73"/>
        <v>9.2734473469286112</v>
      </c>
      <c r="S112" s="24">
        <f t="shared" ca="1" si="73"/>
        <v>8.8716869623188774</v>
      </c>
      <c r="T112" s="24">
        <f t="shared" ca="1" si="73"/>
        <v>9.0183165777991139</v>
      </c>
      <c r="U112" s="24">
        <f t="shared" ca="1" si="73"/>
        <v>9.1534951833330833</v>
      </c>
      <c r="V112" s="24">
        <f t="shared" ca="1" si="73"/>
        <v>9.3018197750380391</v>
      </c>
      <c r="W112" s="24">
        <f t="shared" ca="1" si="73"/>
        <v>9.4477407884176401</v>
      </c>
      <c r="X112" s="24">
        <f t="shared" ca="1" si="73"/>
        <v>9.58208040906446</v>
      </c>
      <c r="Y112" s="24">
        <f t="shared" ca="1" si="73"/>
        <v>9.7418390042652661</v>
      </c>
      <c r="Z112" s="24">
        <f t="shared" ca="1" si="73"/>
        <v>9.8964163009062247</v>
      </c>
      <c r="AA112" s="24">
        <f t="shared" ca="1" si="73"/>
        <v>10.044400763602876</v>
      </c>
      <c r="AB112" s="24">
        <f t="shared" ca="1" si="73"/>
        <v>10.219391469558936</v>
      </c>
      <c r="AC112" s="24">
        <f t="shared" ca="1" si="73"/>
        <v>10.363175339003021</v>
      </c>
      <c r="AD112" s="24">
        <f t="shared" ca="1" si="73"/>
        <v>10.537814578317166</v>
      </c>
      <c r="AE112" s="24">
        <f t="shared" ca="1" si="73"/>
        <v>10.693111814692374</v>
      </c>
      <c r="AF112" s="24">
        <f t="shared" ca="1" si="73"/>
        <v>10.855330676386584</v>
      </c>
      <c r="AG112" s="24">
        <f t="shared" ca="1" si="73"/>
        <v>11.01914814441983</v>
      </c>
      <c r="AH112" s="24">
        <f t="shared" ca="1" si="73"/>
        <v>11.19629300076182</v>
      </c>
      <c r="AI112" s="24">
        <f t="shared" ca="1" si="73"/>
        <v>11.366794003808254</v>
      </c>
      <c r="AJ112" s="24">
        <f t="shared" ca="1" si="73"/>
        <v>11.541450249572817</v>
      </c>
      <c r="AK112" s="24">
        <f t="shared" ca="1" si="73"/>
        <v>11.711815201015927</v>
      </c>
      <c r="AL112" s="24">
        <f t="shared" ca="1" si="73"/>
        <v>11.881091739632465</v>
      </c>
      <c r="AM112" s="24">
        <f t="shared" ca="1" si="73"/>
        <v>12.746158852904701</v>
      </c>
      <c r="AN112" s="24">
        <f t="shared" ca="1" si="73"/>
        <v>13.632614411982511</v>
      </c>
      <c r="AO112" s="24">
        <f t="shared" ca="1" si="73"/>
        <v>13.632614411982511</v>
      </c>
      <c r="AP112" s="24">
        <f t="shared" ca="1" si="73"/>
        <v>13.632614411982511</v>
      </c>
      <c r="AQ112" s="6"/>
      <c r="AR112" s="6"/>
      <c r="AS112" s="226"/>
      <c r="AT112" s="226"/>
      <c r="AU112" s="6"/>
      <c r="AV112" s="6"/>
      <c r="BB112" s="4">
        <f t="shared" si="62"/>
        <v>2</v>
      </c>
    </row>
    <row r="113" spans="1:54">
      <c r="A113" s="22" t="str">
        <f>'[6]TS BYDem'!A24</f>
        <v/>
      </c>
      <c r="B113" s="22" t="str">
        <f>'[6]TS BYDem'!B24</f>
        <v>COM_PROJ</v>
      </c>
      <c r="C113" s="22" t="str">
        <f>'[6]TS BYDem'!C24</f>
        <v>-</v>
      </c>
      <c r="D113" s="22" t="str">
        <f>'[6]TS BYDem'!D24</f>
        <v>RMEH</v>
      </c>
      <c r="E113" s="132" t="s">
        <v>137</v>
      </c>
      <c r="F113" s="132" t="s">
        <v>137</v>
      </c>
      <c r="G113" s="132" t="s">
        <v>137</v>
      </c>
      <c r="H113" s="132" t="s">
        <v>137</v>
      </c>
      <c r="I113" s="132">
        <v>0</v>
      </c>
      <c r="J113" s="6">
        <f>'[6]TS BYDem'!J24</f>
        <v>13.162628870539544</v>
      </c>
      <c r="K113" s="24">
        <f t="shared" si="59"/>
        <v>13.094413910887344</v>
      </c>
      <c r="L113" s="24">
        <f t="shared" si="57"/>
        <v>13.026198951235143</v>
      </c>
      <c r="M113" s="24">
        <f t="shared" si="57"/>
        <v>12.957983991582941</v>
      </c>
      <c r="N113" s="24">
        <f t="shared" si="57"/>
        <v>12.88976903193074</v>
      </c>
      <c r="O113" s="24">
        <f>'[6]TS BYDem'!O24</f>
        <v>12.821554072278539</v>
      </c>
      <c r="P113" s="24">
        <f ca="1">IF($E$78=1, P90,P82)</f>
        <v>13.083281286912216</v>
      </c>
      <c r="Q113" s="24">
        <f t="shared" ref="Q113:AP113" ca="1" si="74">IF($E$78=1, Q90,Q82)</f>
        <v>13.334217649368343</v>
      </c>
      <c r="R113" s="24">
        <f t="shared" ca="1" si="74"/>
        <v>13.954491187106205</v>
      </c>
      <c r="S113" s="24">
        <f t="shared" ca="1" si="74"/>
        <v>13.349930494989721</v>
      </c>
      <c r="T113" s="24">
        <f t="shared" ca="1" si="74"/>
        <v>13.570575698487362</v>
      </c>
      <c r="U113" s="24">
        <f t="shared" ca="1" si="74"/>
        <v>13.773989659772628</v>
      </c>
      <c r="V113" s="24">
        <f t="shared" ca="1" si="74"/>
        <v>13.99718542833042</v>
      </c>
      <c r="W113" s="24">
        <f t="shared" ca="1" si="74"/>
        <v>14.216764342087199</v>
      </c>
      <c r="X113" s="24">
        <f t="shared" ca="1" si="74"/>
        <v>14.418915816319284</v>
      </c>
      <c r="Y113" s="24">
        <f t="shared" ca="1" si="74"/>
        <v>14.659317236135669</v>
      </c>
      <c r="Z113" s="24">
        <f t="shared" ca="1" si="74"/>
        <v>14.891921945366848</v>
      </c>
      <c r="AA113" s="24">
        <f t="shared" ca="1" si="74"/>
        <v>15.114605894849024</v>
      </c>
      <c r="AB113" s="24">
        <f t="shared" ca="1" si="74"/>
        <v>15.377928278935034</v>
      </c>
      <c r="AC113" s="24">
        <f t="shared" ca="1" si="74"/>
        <v>15.594291262833364</v>
      </c>
      <c r="AD113" s="24">
        <f t="shared" ca="1" si="74"/>
        <v>15.857084767207906</v>
      </c>
      <c r="AE113" s="24">
        <f t="shared" ca="1" si="74"/>
        <v>16.090772826815808</v>
      </c>
      <c r="AF113" s="24">
        <f t="shared" ca="1" si="74"/>
        <v>16.334876404612473</v>
      </c>
      <c r="AG113" s="24">
        <f t="shared" ca="1" si="74"/>
        <v>16.581385532064534</v>
      </c>
      <c r="AH113" s="24">
        <f t="shared" ca="1" si="74"/>
        <v>16.847949436962772</v>
      </c>
      <c r="AI113" s="24">
        <f t="shared" ca="1" si="74"/>
        <v>17.10451580925066</v>
      </c>
      <c r="AJ113" s="24">
        <f t="shared" ca="1" si="74"/>
        <v>17.367334904578989</v>
      </c>
      <c r="AK113" s="24">
        <f t="shared" ca="1" si="74"/>
        <v>17.62369654923663</v>
      </c>
      <c r="AL113" s="24">
        <f t="shared" ca="1" si="74"/>
        <v>17.878420372852311</v>
      </c>
      <c r="AM113" s="24">
        <f t="shared" ca="1" si="74"/>
        <v>19.180155418817819</v>
      </c>
      <c r="AN113" s="24">
        <f t="shared" ca="1" si="74"/>
        <v>20.514075354321587</v>
      </c>
      <c r="AO113" s="24">
        <f t="shared" ca="1" si="74"/>
        <v>20.514075354321587</v>
      </c>
      <c r="AP113" s="24">
        <f t="shared" ca="1" si="74"/>
        <v>20.514075354321587</v>
      </c>
      <c r="AQ113" s="6"/>
      <c r="AR113" s="6"/>
      <c r="AS113" s="226"/>
      <c r="AT113" s="226"/>
      <c r="AU113" s="6"/>
      <c r="AV113" s="6"/>
      <c r="BB113" s="4">
        <f t="shared" si="62"/>
        <v>2</v>
      </c>
    </row>
    <row r="114" spans="1:54">
      <c r="A114" s="22" t="str">
        <f>'[6]TS BYDem'!A25</f>
        <v/>
      </c>
      <c r="B114" s="22" t="str">
        <f>'[6]TS BYDem'!B25</f>
        <v>COM_PROJ</v>
      </c>
      <c r="C114" s="22" t="str">
        <f>'[6]TS BYDem'!C25</f>
        <v>-</v>
      </c>
      <c r="D114" s="22" t="str">
        <f>'[6]TS BYDem'!D25</f>
        <v>RMEWG</v>
      </c>
      <c r="E114" s="132" t="s">
        <v>137</v>
      </c>
      <c r="F114" s="132" t="s">
        <v>137</v>
      </c>
      <c r="G114" s="132" t="s">
        <v>137</v>
      </c>
      <c r="H114" s="132" t="s">
        <v>137</v>
      </c>
      <c r="I114" s="132">
        <v>0</v>
      </c>
      <c r="J114" s="6">
        <f>'[6]TS BYDem'!J25</f>
        <v>8.7188154069192709</v>
      </c>
      <c r="K114" s="24">
        <f t="shared" si="59"/>
        <v>9.2405614732838561</v>
      </c>
      <c r="L114" s="24">
        <f t="shared" si="57"/>
        <v>9.7623075396484413</v>
      </c>
      <c r="M114" s="24">
        <f t="shared" si="57"/>
        <v>10.284053606013025</v>
      </c>
      <c r="N114" s="24">
        <f t="shared" si="57"/>
        <v>10.80579967237761</v>
      </c>
      <c r="O114" s="24">
        <f>'[6]TS BYDem'!O25</f>
        <v>11.327545738742195</v>
      </c>
      <c r="P114" s="24">
        <f t="shared" ref="P114:AP114" ca="1" si="75">OFFSET(P$33,$BB114,$J$96)/OFFSET(O$33,$BB114,$J$96)*O114</f>
        <v>11.558775664391113</v>
      </c>
      <c r="Q114" s="24">
        <f t="shared" ca="1" si="75"/>
        <v>11.780472122340864</v>
      </c>
      <c r="R114" s="24">
        <f t="shared" ca="1" si="75"/>
        <v>12.328469411097643</v>
      </c>
      <c r="S114" s="24">
        <f t="shared" ca="1" si="75"/>
        <v>11.794354057124947</v>
      </c>
      <c r="T114" s="24">
        <f t="shared" ca="1" si="75"/>
        <v>11.989288978474105</v>
      </c>
      <c r="U114" s="24">
        <f t="shared" ca="1" si="75"/>
        <v>12.169000496857002</v>
      </c>
      <c r="V114" s="24">
        <f t="shared" ca="1" si="75"/>
        <v>12.366188783298695</v>
      </c>
      <c r="W114" s="24">
        <f t="shared" ca="1" si="75"/>
        <v>12.560181662385091</v>
      </c>
      <c r="X114" s="24">
        <f t="shared" ca="1" si="75"/>
        <v>12.738777802728878</v>
      </c>
      <c r="Y114" s="24">
        <f t="shared" ca="1" si="75"/>
        <v>12.951166883122525</v>
      </c>
      <c r="Z114" s="24">
        <f t="shared" ca="1" si="75"/>
        <v>13.156667750490842</v>
      </c>
      <c r="AA114" s="24">
        <f t="shared" ca="1" si="75"/>
        <v>13.353403856646407</v>
      </c>
      <c r="AB114" s="24">
        <f t="shared" ca="1" si="75"/>
        <v>13.58604307752042</v>
      </c>
      <c r="AC114" s="24">
        <f t="shared" ca="1" si="75"/>
        <v>13.777194757142322</v>
      </c>
      <c r="AD114" s="24">
        <f t="shared" ca="1" si="75"/>
        <v>14.009366725054006</v>
      </c>
      <c r="AE114" s="24">
        <f t="shared" ca="1" si="75"/>
        <v>14.215824707361293</v>
      </c>
      <c r="AF114" s="24">
        <f t="shared" ca="1" si="75"/>
        <v>14.431484558491253</v>
      </c>
      <c r="AG114" s="24">
        <f t="shared" ca="1" si="75"/>
        <v>14.649269656966011</v>
      </c>
      <c r="AH114" s="24">
        <f t="shared" ca="1" si="75"/>
        <v>14.884772686318824</v>
      </c>
      <c r="AI114" s="24">
        <f t="shared" ca="1" si="75"/>
        <v>15.111443127415965</v>
      </c>
      <c r="AJ114" s="24">
        <f t="shared" ca="1" si="75"/>
        <v>15.34363770434196</v>
      </c>
      <c r="AK114" s="24">
        <f t="shared" ca="1" si="75"/>
        <v>15.570127273324649</v>
      </c>
      <c r="AL114" s="24">
        <f t="shared" ca="1" si="75"/>
        <v>15.795169865391738</v>
      </c>
      <c r="AM114" s="24">
        <f t="shared" ca="1" si="75"/>
        <v>16.945222596111726</v>
      </c>
      <c r="AN114" s="24">
        <f t="shared" ca="1" si="75"/>
        <v>18.123709930490978</v>
      </c>
      <c r="AO114" s="24">
        <f t="shared" ca="1" si="75"/>
        <v>18.123709930490978</v>
      </c>
      <c r="AP114" s="24">
        <f t="shared" ca="1" si="75"/>
        <v>18.123709930490978</v>
      </c>
      <c r="AQ114" s="6"/>
      <c r="AR114" s="6"/>
      <c r="AS114" s="226"/>
      <c r="AT114" s="226"/>
      <c r="AU114" s="6"/>
      <c r="AV114" s="6"/>
      <c r="BB114" s="4">
        <f t="shared" si="62"/>
        <v>2</v>
      </c>
    </row>
    <row r="115" spans="1:54">
      <c r="A115" s="22" t="str">
        <f>'[6]TS BYDem'!A26</f>
        <v/>
      </c>
      <c r="B115" s="22" t="str">
        <f>'[6]TS BYDem'!B26</f>
        <v>COM_PROJ</v>
      </c>
      <c r="C115" s="22" t="str">
        <f>'[6]TS BYDem'!C26</f>
        <v>-</v>
      </c>
      <c r="D115" s="22" t="str">
        <f>'[6]TS BYDem'!D26</f>
        <v>RMEW</v>
      </c>
      <c r="E115" s="132" t="s">
        <v>137</v>
      </c>
      <c r="F115" s="132" t="s">
        <v>137</v>
      </c>
      <c r="G115" s="132" t="s">
        <v>137</v>
      </c>
      <c r="H115" s="132" t="s">
        <v>137</v>
      </c>
      <c r="I115" s="132">
        <v>0</v>
      </c>
      <c r="J115" s="6">
        <f>'[6]TS BYDem'!J26</f>
        <v>6.0852758810873713</v>
      </c>
      <c r="K115" s="24">
        <f t="shared" si="59"/>
        <v>5.8917973817997336</v>
      </c>
      <c r="L115" s="24">
        <f t="shared" si="59"/>
        <v>5.6983188825120958</v>
      </c>
      <c r="M115" s="24">
        <f t="shared" si="59"/>
        <v>5.5048403832244572</v>
      </c>
      <c r="N115" s="24">
        <f t="shared" si="59"/>
        <v>5.3113618839368195</v>
      </c>
      <c r="O115" s="24">
        <f>'[6]TS BYDem'!O26</f>
        <v>5.1178833846491818</v>
      </c>
      <c r="P115" s="24">
        <f t="shared" ref="P115:AP115" ca="1" si="76">OFFSET(P$33,$BB115,$J$96)/OFFSET(O$33,$BB115,$J$96)*O115</f>
        <v>5.2223550700262535</v>
      </c>
      <c r="Q115" s="24">
        <f t="shared" ca="1" si="76"/>
        <v>5.3225194520332071</v>
      </c>
      <c r="R115" s="24">
        <f t="shared" ca="1" si="76"/>
        <v>5.5701093787168787</v>
      </c>
      <c r="S115" s="24">
        <f t="shared" ca="1" si="76"/>
        <v>5.3287914305373638</v>
      </c>
      <c r="T115" s="24">
        <f t="shared" ca="1" si="76"/>
        <v>5.4168647182618708</v>
      </c>
      <c r="U115" s="24">
        <f t="shared" ca="1" si="76"/>
        <v>5.4980599405257919</v>
      </c>
      <c r="V115" s="24">
        <f t="shared" ca="1" si="76"/>
        <v>5.5871513181377823</v>
      </c>
      <c r="W115" s="24">
        <f t="shared" ca="1" si="76"/>
        <v>5.6747989829996301</v>
      </c>
      <c r="X115" s="24">
        <f t="shared" ca="1" si="76"/>
        <v>5.7554902677941628</v>
      </c>
      <c r="Y115" s="24">
        <f t="shared" ca="1" si="76"/>
        <v>5.8514494959180361</v>
      </c>
      <c r="Z115" s="24">
        <f t="shared" ca="1" si="76"/>
        <v>5.9442965696701373</v>
      </c>
      <c r="AA115" s="24">
        <f t="shared" ca="1" si="76"/>
        <v>6.0331836483080519</v>
      </c>
      <c r="AB115" s="24">
        <f t="shared" ca="1" si="76"/>
        <v>6.1382920654876632</v>
      </c>
      <c r="AC115" s="24">
        <f t="shared" ca="1" si="76"/>
        <v>6.224656051795729</v>
      </c>
      <c r="AD115" s="24">
        <f t="shared" ca="1" si="76"/>
        <v>6.3295533600354617</v>
      </c>
      <c r="AE115" s="24">
        <f t="shared" ca="1" si="76"/>
        <v>6.4228328666160275</v>
      </c>
      <c r="AF115" s="24">
        <f t="shared" ca="1" si="76"/>
        <v>6.5202698573190547</v>
      </c>
      <c r="AG115" s="24">
        <f t="shared" ca="1" si="76"/>
        <v>6.6186670532002445</v>
      </c>
      <c r="AH115" s="24">
        <f t="shared" ca="1" si="76"/>
        <v>6.7250693638823416</v>
      </c>
      <c r="AI115" s="24">
        <f t="shared" ca="1" si="76"/>
        <v>6.8274810346041388</v>
      </c>
      <c r="AJ115" s="24">
        <f t="shared" ca="1" si="76"/>
        <v>6.932388557792577</v>
      </c>
      <c r="AK115" s="24">
        <f t="shared" ca="1" si="76"/>
        <v>7.034718508924743</v>
      </c>
      <c r="AL115" s="24">
        <f t="shared" ca="1" si="76"/>
        <v>7.1363947033398656</v>
      </c>
      <c r="AM115" s="24">
        <f t="shared" ca="1" si="76"/>
        <v>7.6559984990580912</v>
      </c>
      <c r="AN115" s="24">
        <f t="shared" ca="1" si="76"/>
        <v>8.1884492952628474</v>
      </c>
      <c r="AO115" s="24">
        <f t="shared" ca="1" si="76"/>
        <v>8.1884492952628474</v>
      </c>
      <c r="AP115" s="24">
        <f t="shared" ca="1" si="76"/>
        <v>8.1884492952628474</v>
      </c>
      <c r="AQ115" s="6"/>
      <c r="AR115" s="6"/>
      <c r="AS115" s="226"/>
      <c r="AT115" s="226"/>
      <c r="AU115" s="6"/>
      <c r="AV115" s="6"/>
      <c r="BB115" s="4">
        <f t="shared" si="62"/>
        <v>2</v>
      </c>
    </row>
    <row r="116" spans="1:54">
      <c r="A116" s="22" t="str">
        <f>'[6]TS BYDem'!A27</f>
        <v/>
      </c>
      <c r="B116" s="22" t="str">
        <f>'[6]TS BYDem'!B27</f>
        <v>COM_PROJ</v>
      </c>
      <c r="C116" s="22" t="str">
        <f>'[6]TS BYDem'!C27</f>
        <v>-</v>
      </c>
      <c r="D116" s="22" t="str">
        <f>'[6]TS BYDem'!D27</f>
        <v>RMER</v>
      </c>
      <c r="E116" s="132" t="s">
        <v>137</v>
      </c>
      <c r="F116" s="132" t="s">
        <v>137</v>
      </c>
      <c r="G116" s="132" t="s">
        <v>137</v>
      </c>
      <c r="H116" s="132" t="s">
        <v>137</v>
      </c>
      <c r="I116" s="132">
        <v>0</v>
      </c>
      <c r="J116" s="6">
        <f>'[6]TS BYDem'!J27</f>
        <v>3.2557540936677181</v>
      </c>
      <c r="K116" s="24">
        <f t="shared" si="59"/>
        <v>3.5369252230832862</v>
      </c>
      <c r="L116" s="24">
        <f t="shared" si="59"/>
        <v>3.8180963524988547</v>
      </c>
      <c r="M116" s="24">
        <f t="shared" si="59"/>
        <v>4.0992674819144233</v>
      </c>
      <c r="N116" s="24">
        <f t="shared" si="59"/>
        <v>4.3804386113299909</v>
      </c>
      <c r="O116" s="24">
        <f>'[6]TS BYDem'!O27</f>
        <v>4.6616097407455594</v>
      </c>
      <c r="P116" s="24">
        <f t="shared" ref="P116:AP116" ca="1" si="77">OFFSET(P$33,$BB116,$J$96)/OFFSET(O$33,$BB116,$J$96)*O116</f>
        <v>4.756767482644606</v>
      </c>
      <c r="Q116" s="24">
        <f t="shared" ca="1" si="77"/>
        <v>4.8480019293379195</v>
      </c>
      <c r="R116" s="24">
        <f t="shared" ca="1" si="77"/>
        <v>5.073518520317883</v>
      </c>
      <c r="S116" s="24">
        <f t="shared" ca="1" si="77"/>
        <v>4.8537147433845265</v>
      </c>
      <c r="T116" s="24">
        <f t="shared" ca="1" si="77"/>
        <v>4.9339360507295735</v>
      </c>
      <c r="U116" s="24">
        <f t="shared" ca="1" si="77"/>
        <v>5.0078924914219867</v>
      </c>
      <c r="V116" s="24">
        <f t="shared" ca="1" si="77"/>
        <v>5.0890411230883892</v>
      </c>
      <c r="W116" s="24">
        <f t="shared" ca="1" si="77"/>
        <v>5.1688747530415657</v>
      </c>
      <c r="X116" s="24">
        <f t="shared" ca="1" si="77"/>
        <v>5.2423721837020052</v>
      </c>
      <c r="Y116" s="24">
        <f t="shared" ca="1" si="77"/>
        <v>5.3297763777636353</v>
      </c>
      <c r="Z116" s="24">
        <f t="shared" ca="1" si="77"/>
        <v>5.414345874735905</v>
      </c>
      <c r="AA116" s="24">
        <f t="shared" ca="1" si="77"/>
        <v>5.4953084212542098</v>
      </c>
      <c r="AB116" s="24">
        <f t="shared" ca="1" si="77"/>
        <v>5.5910461285314952</v>
      </c>
      <c r="AC116" s="24">
        <f t="shared" ca="1" si="77"/>
        <v>5.6697105234707896</v>
      </c>
      <c r="AD116" s="24">
        <f t="shared" ca="1" si="77"/>
        <v>5.7652559427617076</v>
      </c>
      <c r="AE116" s="24">
        <f t="shared" ca="1" si="77"/>
        <v>5.8502193199641193</v>
      </c>
      <c r="AF116" s="24">
        <f t="shared" ca="1" si="77"/>
        <v>5.9389695299303238</v>
      </c>
      <c r="AG116" s="24">
        <f t="shared" ca="1" si="77"/>
        <v>6.0285943400925914</v>
      </c>
      <c r="AH116" s="24">
        <f t="shared" ca="1" si="77"/>
        <v>6.1255105866411634</v>
      </c>
      <c r="AI116" s="24">
        <f t="shared" ca="1" si="77"/>
        <v>6.2187919699635543</v>
      </c>
      <c r="AJ116" s="24">
        <f t="shared" ca="1" si="77"/>
        <v>6.3143466935118786</v>
      </c>
      <c r="AK116" s="24">
        <f t="shared" ca="1" si="77"/>
        <v>6.4075536427750297</v>
      </c>
      <c r="AL116" s="24">
        <f t="shared" ca="1" si="77"/>
        <v>6.5001651195642696</v>
      </c>
      <c r="AM116" s="24">
        <f t="shared" ca="1" si="77"/>
        <v>6.9734447809793139</v>
      </c>
      <c r="AN116" s="24">
        <f t="shared" ca="1" si="77"/>
        <v>7.4584260967905891</v>
      </c>
      <c r="AO116" s="24">
        <f t="shared" ca="1" si="77"/>
        <v>7.4584260967905891</v>
      </c>
      <c r="AP116" s="24">
        <f t="shared" ca="1" si="77"/>
        <v>7.4584260967905891</v>
      </c>
      <c r="AQ116" s="6"/>
      <c r="AR116" s="6"/>
      <c r="AS116" s="226"/>
      <c r="AT116" s="226"/>
      <c r="AU116" s="6"/>
      <c r="AV116" s="6"/>
      <c r="BB116" s="4">
        <f t="shared" si="62"/>
        <v>2</v>
      </c>
    </row>
    <row r="117" spans="1:54">
      <c r="A117" s="22" t="str">
        <f>'[6]TS BYDem'!A28</f>
        <v/>
      </c>
      <c r="B117" s="22" t="str">
        <f>'[6]TS BYDem'!B28</f>
        <v>COM_PROJ</v>
      </c>
      <c r="C117" s="22" t="str">
        <f>'[6]TS BYDem'!C28</f>
        <v>-</v>
      </c>
      <c r="D117" s="22" t="str">
        <f>'[6]TS BYDem'!D28</f>
        <v>RMEO</v>
      </c>
      <c r="E117" s="132" t="s">
        <v>137</v>
      </c>
      <c r="F117" s="132" t="s">
        <v>137</v>
      </c>
      <c r="G117" s="132" t="s">
        <v>137</v>
      </c>
      <c r="H117" s="132" t="s">
        <v>137</v>
      </c>
      <c r="I117" s="132">
        <v>0</v>
      </c>
      <c r="J117" s="6">
        <f>'[6]TS BYDem'!J28</f>
        <v>5.8181446629629967</v>
      </c>
      <c r="K117" s="24">
        <f t="shared" si="59"/>
        <v>6.4084282360981142</v>
      </c>
      <c r="L117" s="24">
        <f t="shared" si="59"/>
        <v>6.9987118092332326</v>
      </c>
      <c r="M117" s="24">
        <f t="shared" si="59"/>
        <v>7.58899538236835</v>
      </c>
      <c r="N117" s="24">
        <f t="shared" si="59"/>
        <v>8.1792789555034684</v>
      </c>
      <c r="O117" s="24">
        <f>'[6]TS BYDem'!O28</f>
        <v>8.7695625286385859</v>
      </c>
      <c r="P117" s="24">
        <f ca="1">IF($E$78=1, P92,P84)</f>
        <v>8.948576177158694</v>
      </c>
      <c r="Q117" s="24">
        <f t="shared" ref="Q117:AP117" ca="1" si="78">IF($E$78=1, Q92,Q84)</f>
        <v>9.1202092029886934</v>
      </c>
      <c r="R117" s="24">
        <f t="shared" ca="1" si="78"/>
        <v>9.5444578972879945</v>
      </c>
      <c r="S117" s="24">
        <f t="shared" ca="1" si="78"/>
        <v>9.1309563231429856</v>
      </c>
      <c r="T117" s="24">
        <f t="shared" ca="1" si="78"/>
        <v>9.2818710950816179</v>
      </c>
      <c r="U117" s="24">
        <f t="shared" ca="1" si="78"/>
        <v>9.4210002086534335</v>
      </c>
      <c r="V117" s="24">
        <f t="shared" ca="1" si="78"/>
        <v>9.5736594914097282</v>
      </c>
      <c r="W117" s="24">
        <f t="shared" ca="1" si="78"/>
        <v>9.7238449528058606</v>
      </c>
      <c r="X117" s="24">
        <f t="shared" ca="1" si="78"/>
        <v>9.8621105626953565</v>
      </c>
      <c r="Y117" s="24">
        <f t="shared" ca="1" si="78"/>
        <v>10.026538000365447</v>
      </c>
      <c r="Z117" s="24">
        <f t="shared" ca="1" si="78"/>
        <v>10.185632719348769</v>
      </c>
      <c r="AA117" s="24">
        <f t="shared" ca="1" si="78"/>
        <v>10.337941933044664</v>
      </c>
      <c r="AB117" s="24">
        <f t="shared" ca="1" si="78"/>
        <v>10.518046630136354</v>
      </c>
      <c r="AC117" s="24">
        <f t="shared" ca="1" si="78"/>
        <v>10.666032490936303</v>
      </c>
      <c r="AD117" s="24">
        <f t="shared" ca="1" si="78"/>
        <v>10.845775449998913</v>
      </c>
      <c r="AE117" s="24">
        <f t="shared" ca="1" si="78"/>
        <v>11.005611148493418</v>
      </c>
      <c r="AF117" s="24">
        <f t="shared" ca="1" si="78"/>
        <v>11.17257075236707</v>
      </c>
      <c r="AG117" s="24">
        <f t="shared" ca="1" si="78"/>
        <v>11.341175680824607</v>
      </c>
      <c r="AH117" s="24">
        <f t="shared" ca="1" si="78"/>
        <v>11.523497481965498</v>
      </c>
      <c r="AI117" s="24">
        <f t="shared" ca="1" si="78"/>
        <v>11.698981267459901</v>
      </c>
      <c r="AJ117" s="24">
        <f t="shared" ca="1" si="78"/>
        <v>11.878741729975534</v>
      </c>
      <c r="AK117" s="24">
        <f t="shared" ca="1" si="78"/>
        <v>12.054085487845775</v>
      </c>
      <c r="AL117" s="24">
        <f t="shared" ca="1" si="78"/>
        <v>12.228309024722739</v>
      </c>
      <c r="AM117" s="24">
        <f t="shared" ca="1" si="78"/>
        <v>13.118657169492215</v>
      </c>
      <c r="AN117" s="24">
        <f t="shared" ca="1" si="78"/>
        <v>14.031018823676542</v>
      </c>
      <c r="AO117" s="24">
        <f t="shared" ca="1" si="78"/>
        <v>14.031018823676542</v>
      </c>
      <c r="AP117" s="24">
        <f t="shared" ca="1" si="78"/>
        <v>14.031018823676542</v>
      </c>
      <c r="AQ117" s="6"/>
      <c r="AR117" s="6"/>
      <c r="AS117" s="226"/>
      <c r="AT117" s="226"/>
      <c r="AU117" s="6"/>
      <c r="AV117" s="6"/>
      <c r="BB117" s="4">
        <f t="shared" si="62"/>
        <v>2</v>
      </c>
    </row>
    <row r="118" spans="1:54">
      <c r="A118" s="22" t="str">
        <f>'[6]TS BYDem'!A29</f>
        <v>*</v>
      </c>
      <c r="B118" s="22" t="str">
        <f>'[6]TS BYDem'!B29</f>
        <v>COM_PROJ</v>
      </c>
      <c r="C118" s="22" t="str">
        <f>'[6]TS BYDem'!C29</f>
        <v>-</v>
      </c>
      <c r="D118" s="22">
        <f>'[6]TS BYDem'!D29</f>
        <v>0</v>
      </c>
      <c r="E118" s="132" t="s">
        <v>137</v>
      </c>
      <c r="F118" s="132" t="s">
        <v>137</v>
      </c>
      <c r="G118" s="132" t="s">
        <v>137</v>
      </c>
      <c r="H118" s="132" t="s">
        <v>137</v>
      </c>
      <c r="I118" s="132">
        <v>0</v>
      </c>
      <c r="J118" s="6">
        <f>'[6]TS BYDem'!J29</f>
        <v>0</v>
      </c>
      <c r="K118" s="24">
        <f t="shared" si="59"/>
        <v>0</v>
      </c>
      <c r="L118" s="24">
        <f t="shared" si="59"/>
        <v>0</v>
      </c>
      <c r="M118" s="24">
        <f t="shared" si="59"/>
        <v>0</v>
      </c>
      <c r="N118" s="24">
        <f t="shared" si="59"/>
        <v>0</v>
      </c>
      <c r="O118" s="24">
        <f>'[6]TS BYDem'!O29</f>
        <v>0</v>
      </c>
      <c r="P118" s="24" t="e">
        <f t="shared" ref="P118:AP118" ca="1" si="79">OFFSET(P$33,$BB118,$J$96)/OFFSET(O$33,$BB118,$J$96)*O118</f>
        <v>#N/A</v>
      </c>
      <c r="Q118" s="24" t="e">
        <f t="shared" ca="1" si="79"/>
        <v>#N/A</v>
      </c>
      <c r="R118" s="24" t="e">
        <f t="shared" ca="1" si="79"/>
        <v>#N/A</v>
      </c>
      <c r="S118" s="24" t="e">
        <f t="shared" ca="1" si="79"/>
        <v>#N/A</v>
      </c>
      <c r="T118" s="24" t="e">
        <f t="shared" ca="1" si="79"/>
        <v>#N/A</v>
      </c>
      <c r="U118" s="24" t="e">
        <f t="shared" ca="1" si="79"/>
        <v>#N/A</v>
      </c>
      <c r="V118" s="24" t="e">
        <f t="shared" ca="1" si="79"/>
        <v>#N/A</v>
      </c>
      <c r="W118" s="24" t="e">
        <f t="shared" ca="1" si="79"/>
        <v>#N/A</v>
      </c>
      <c r="X118" s="24" t="e">
        <f t="shared" ca="1" si="79"/>
        <v>#N/A</v>
      </c>
      <c r="Y118" s="24" t="e">
        <f t="shared" ca="1" si="79"/>
        <v>#N/A</v>
      </c>
      <c r="Z118" s="24" t="e">
        <f t="shared" ca="1" si="79"/>
        <v>#N/A</v>
      </c>
      <c r="AA118" s="24" t="e">
        <f t="shared" ca="1" si="79"/>
        <v>#N/A</v>
      </c>
      <c r="AB118" s="24" t="e">
        <f t="shared" ca="1" si="79"/>
        <v>#N/A</v>
      </c>
      <c r="AC118" s="24" t="e">
        <f t="shared" ca="1" si="79"/>
        <v>#N/A</v>
      </c>
      <c r="AD118" s="24" t="e">
        <f t="shared" ca="1" si="79"/>
        <v>#N/A</v>
      </c>
      <c r="AE118" s="24" t="e">
        <f t="shared" ca="1" si="79"/>
        <v>#N/A</v>
      </c>
      <c r="AF118" s="24" t="e">
        <f t="shared" ca="1" si="79"/>
        <v>#N/A</v>
      </c>
      <c r="AG118" s="24" t="e">
        <f t="shared" ca="1" si="79"/>
        <v>#N/A</v>
      </c>
      <c r="AH118" s="24" t="e">
        <f t="shared" ca="1" si="79"/>
        <v>#N/A</v>
      </c>
      <c r="AI118" s="24" t="e">
        <f t="shared" ca="1" si="79"/>
        <v>#N/A</v>
      </c>
      <c r="AJ118" s="24" t="e">
        <f t="shared" ca="1" si="79"/>
        <v>#N/A</v>
      </c>
      <c r="AK118" s="24" t="e">
        <f t="shared" ca="1" si="79"/>
        <v>#N/A</v>
      </c>
      <c r="AL118" s="24" t="e">
        <f t="shared" ca="1" si="79"/>
        <v>#N/A</v>
      </c>
      <c r="AM118" s="24" t="e">
        <f t="shared" ca="1" si="79"/>
        <v>#N/A</v>
      </c>
      <c r="AN118" s="24" t="e">
        <f t="shared" ca="1" si="79"/>
        <v>#N/A</v>
      </c>
      <c r="AO118" s="24" t="e">
        <f t="shared" ca="1" si="79"/>
        <v>#N/A</v>
      </c>
      <c r="AP118" s="24" t="e">
        <f t="shared" ca="1" si="79"/>
        <v>#N/A</v>
      </c>
      <c r="AQ118" s="6"/>
      <c r="AR118" s="6"/>
      <c r="AS118" s="6"/>
      <c r="AT118" s="6"/>
      <c r="AU118" s="6"/>
      <c r="AV118" s="6"/>
      <c r="BB118" s="4" t="e">
        <f t="shared" si="62"/>
        <v>#N/A</v>
      </c>
    </row>
    <row r="119" spans="1:54">
      <c r="A119" s="22" t="str">
        <f>'[6]TS BYDem'!A30</f>
        <v>*</v>
      </c>
      <c r="B119" s="22" t="str">
        <f>'[6]TS BYDem'!B30</f>
        <v>COM_PROJ</v>
      </c>
      <c r="C119" s="22" t="str">
        <f>'[6]TS BYDem'!C30</f>
        <v>-</v>
      </c>
      <c r="D119" s="22">
        <f>'[6]TS BYDem'!D30</f>
        <v>0</v>
      </c>
      <c r="E119" s="132" t="s">
        <v>137</v>
      </c>
      <c r="F119" s="132" t="s">
        <v>137</v>
      </c>
      <c r="G119" s="132" t="s">
        <v>137</v>
      </c>
      <c r="H119" s="132" t="s">
        <v>137</v>
      </c>
      <c r="I119" s="132">
        <v>0</v>
      </c>
      <c r="J119" s="6">
        <f>'[6]TS BYDem'!J30</f>
        <v>0</v>
      </c>
      <c r="K119" s="24">
        <f t="shared" si="59"/>
        <v>0</v>
      </c>
      <c r="L119" s="24">
        <f t="shared" si="59"/>
        <v>0</v>
      </c>
      <c r="M119" s="24">
        <f t="shared" si="59"/>
        <v>0</v>
      </c>
      <c r="N119" s="24">
        <f t="shared" si="59"/>
        <v>0</v>
      </c>
      <c r="O119" s="24">
        <f>'[6]TS BYDem'!O30</f>
        <v>0</v>
      </c>
      <c r="P119" s="24" t="e">
        <f t="shared" ref="P119:AP119" ca="1" si="80">OFFSET(P$33,$BB119,$J$96)/OFFSET(O$33,$BB119,$J$96)*O119</f>
        <v>#N/A</v>
      </c>
      <c r="Q119" s="24" t="e">
        <f t="shared" ca="1" si="80"/>
        <v>#N/A</v>
      </c>
      <c r="R119" s="24" t="e">
        <f t="shared" ca="1" si="80"/>
        <v>#N/A</v>
      </c>
      <c r="S119" s="24" t="e">
        <f t="shared" ca="1" si="80"/>
        <v>#N/A</v>
      </c>
      <c r="T119" s="24" t="e">
        <f t="shared" ca="1" si="80"/>
        <v>#N/A</v>
      </c>
      <c r="U119" s="24" t="e">
        <f t="shared" ca="1" si="80"/>
        <v>#N/A</v>
      </c>
      <c r="V119" s="24" t="e">
        <f t="shared" ca="1" si="80"/>
        <v>#N/A</v>
      </c>
      <c r="W119" s="24" t="e">
        <f t="shared" ca="1" si="80"/>
        <v>#N/A</v>
      </c>
      <c r="X119" s="24" t="e">
        <f t="shared" ca="1" si="80"/>
        <v>#N/A</v>
      </c>
      <c r="Y119" s="24" t="e">
        <f t="shared" ca="1" si="80"/>
        <v>#N/A</v>
      </c>
      <c r="Z119" s="24" t="e">
        <f t="shared" ca="1" si="80"/>
        <v>#N/A</v>
      </c>
      <c r="AA119" s="24" t="e">
        <f t="shared" ca="1" si="80"/>
        <v>#N/A</v>
      </c>
      <c r="AB119" s="24" t="e">
        <f t="shared" ca="1" si="80"/>
        <v>#N/A</v>
      </c>
      <c r="AC119" s="24" t="e">
        <f t="shared" ca="1" si="80"/>
        <v>#N/A</v>
      </c>
      <c r="AD119" s="24" t="e">
        <f t="shared" ca="1" si="80"/>
        <v>#N/A</v>
      </c>
      <c r="AE119" s="24" t="e">
        <f t="shared" ca="1" si="80"/>
        <v>#N/A</v>
      </c>
      <c r="AF119" s="24" t="e">
        <f t="shared" ca="1" si="80"/>
        <v>#N/A</v>
      </c>
      <c r="AG119" s="24" t="e">
        <f t="shared" ca="1" si="80"/>
        <v>#N/A</v>
      </c>
      <c r="AH119" s="24" t="e">
        <f t="shared" ca="1" si="80"/>
        <v>#N/A</v>
      </c>
      <c r="AI119" s="24" t="e">
        <f t="shared" ca="1" si="80"/>
        <v>#N/A</v>
      </c>
      <c r="AJ119" s="24" t="e">
        <f t="shared" ca="1" si="80"/>
        <v>#N/A</v>
      </c>
      <c r="AK119" s="24" t="e">
        <f t="shared" ca="1" si="80"/>
        <v>#N/A</v>
      </c>
      <c r="AL119" s="24" t="e">
        <f t="shared" ca="1" si="80"/>
        <v>#N/A</v>
      </c>
      <c r="AM119" s="24" t="e">
        <f t="shared" ca="1" si="80"/>
        <v>#N/A</v>
      </c>
      <c r="AN119" s="24" t="e">
        <f t="shared" ca="1" si="80"/>
        <v>#N/A</v>
      </c>
      <c r="AO119" s="24" t="e">
        <f t="shared" ca="1" si="80"/>
        <v>#N/A</v>
      </c>
      <c r="AP119" s="24" t="e">
        <f t="shared" ca="1" si="80"/>
        <v>#N/A</v>
      </c>
      <c r="AQ119" s="6"/>
      <c r="AR119" s="6"/>
      <c r="AS119" s="6"/>
      <c r="AT119" s="6"/>
      <c r="AU119" s="6"/>
      <c r="AV119" s="6"/>
      <c r="BB119" s="4" t="e">
        <f t="shared" si="62"/>
        <v>#N/A</v>
      </c>
    </row>
    <row r="120" spans="1:54">
      <c r="A120" s="22" t="str">
        <f>'[6]TS BYDem'!A31</f>
        <v>*</v>
      </c>
      <c r="B120" s="22" t="str">
        <f>'[6]TS BYDem'!B31</f>
        <v>COM_PROJ</v>
      </c>
      <c r="C120" s="22" t="str">
        <f>'[6]TS BYDem'!C31</f>
        <v>-</v>
      </c>
      <c r="D120" s="22">
        <f>'[6]TS BYDem'!D31</f>
        <v>0</v>
      </c>
      <c r="E120" s="132" t="s">
        <v>137</v>
      </c>
      <c r="F120" s="132" t="s">
        <v>137</v>
      </c>
      <c r="G120" s="132" t="s">
        <v>137</v>
      </c>
      <c r="H120" s="132" t="s">
        <v>137</v>
      </c>
      <c r="I120" s="132">
        <v>0</v>
      </c>
      <c r="J120" s="6">
        <f>'[6]TS BYDem'!J31</f>
        <v>0</v>
      </c>
      <c r="K120" s="24">
        <f t="shared" si="59"/>
        <v>0</v>
      </c>
      <c r="L120" s="24">
        <f t="shared" si="59"/>
        <v>0</v>
      </c>
      <c r="M120" s="24">
        <f t="shared" si="59"/>
        <v>0</v>
      </c>
      <c r="N120" s="24">
        <f t="shared" si="59"/>
        <v>0</v>
      </c>
      <c r="O120" s="24">
        <f>'[6]TS BYDem'!O31</f>
        <v>0</v>
      </c>
      <c r="P120" s="24" t="e">
        <f t="shared" ref="P120:AP120" ca="1" si="81">OFFSET(P$33,$BB120,$J$96)/OFFSET(O$33,$BB120,$J$96)*O120</f>
        <v>#N/A</v>
      </c>
      <c r="Q120" s="24" t="e">
        <f t="shared" ca="1" si="81"/>
        <v>#N/A</v>
      </c>
      <c r="R120" s="24" t="e">
        <f t="shared" ca="1" si="81"/>
        <v>#N/A</v>
      </c>
      <c r="S120" s="24" t="e">
        <f t="shared" ca="1" si="81"/>
        <v>#N/A</v>
      </c>
      <c r="T120" s="24" t="e">
        <f t="shared" ca="1" si="81"/>
        <v>#N/A</v>
      </c>
      <c r="U120" s="24" t="e">
        <f t="shared" ca="1" si="81"/>
        <v>#N/A</v>
      </c>
      <c r="V120" s="24" t="e">
        <f t="shared" ca="1" si="81"/>
        <v>#N/A</v>
      </c>
      <c r="W120" s="24" t="e">
        <f t="shared" ca="1" si="81"/>
        <v>#N/A</v>
      </c>
      <c r="X120" s="24" t="e">
        <f t="shared" ca="1" si="81"/>
        <v>#N/A</v>
      </c>
      <c r="Y120" s="24" t="e">
        <f t="shared" ca="1" si="81"/>
        <v>#N/A</v>
      </c>
      <c r="Z120" s="24" t="e">
        <f t="shared" ca="1" si="81"/>
        <v>#N/A</v>
      </c>
      <c r="AA120" s="24" t="e">
        <f t="shared" ca="1" si="81"/>
        <v>#N/A</v>
      </c>
      <c r="AB120" s="24" t="e">
        <f t="shared" ca="1" si="81"/>
        <v>#N/A</v>
      </c>
      <c r="AC120" s="24" t="e">
        <f t="shared" ca="1" si="81"/>
        <v>#N/A</v>
      </c>
      <c r="AD120" s="24" t="e">
        <f t="shared" ca="1" si="81"/>
        <v>#N/A</v>
      </c>
      <c r="AE120" s="24" t="e">
        <f t="shared" ca="1" si="81"/>
        <v>#N/A</v>
      </c>
      <c r="AF120" s="24" t="e">
        <f t="shared" ca="1" si="81"/>
        <v>#N/A</v>
      </c>
      <c r="AG120" s="24" t="e">
        <f t="shared" ca="1" si="81"/>
        <v>#N/A</v>
      </c>
      <c r="AH120" s="24" t="e">
        <f t="shared" ca="1" si="81"/>
        <v>#N/A</v>
      </c>
      <c r="AI120" s="24" t="e">
        <f t="shared" ca="1" si="81"/>
        <v>#N/A</v>
      </c>
      <c r="AJ120" s="24" t="e">
        <f t="shared" ca="1" si="81"/>
        <v>#N/A</v>
      </c>
      <c r="AK120" s="24" t="e">
        <f t="shared" ca="1" si="81"/>
        <v>#N/A</v>
      </c>
      <c r="AL120" s="24" t="e">
        <f t="shared" ca="1" si="81"/>
        <v>#N/A</v>
      </c>
      <c r="AM120" s="24" t="e">
        <f t="shared" ca="1" si="81"/>
        <v>#N/A</v>
      </c>
      <c r="AN120" s="24" t="e">
        <f t="shared" ca="1" si="81"/>
        <v>#N/A</v>
      </c>
      <c r="AO120" s="24" t="e">
        <f t="shared" ca="1" si="81"/>
        <v>#N/A</v>
      </c>
      <c r="AP120" s="24" t="e">
        <f t="shared" ca="1" si="81"/>
        <v>#N/A</v>
      </c>
      <c r="AQ120" s="6"/>
      <c r="AR120" s="6"/>
      <c r="AS120" s="6"/>
      <c r="AT120" s="6"/>
      <c r="AU120" s="6"/>
      <c r="AV120" s="6"/>
      <c r="BB120" s="4" t="e">
        <f t="shared" si="62"/>
        <v>#N/A</v>
      </c>
    </row>
    <row r="121" spans="1:54" s="302" customFormat="1">
      <c r="A121" s="298" t="str">
        <f>'[6]TS BYDem'!A32</f>
        <v/>
      </c>
      <c r="B121" s="298" t="str">
        <f>'[6]TS BYDem'!B32</f>
        <v>COM_PROJ</v>
      </c>
      <c r="C121" s="298" t="str">
        <f>'[6]TS BYDem'!C32</f>
        <v>-</v>
      </c>
      <c r="D121" s="298" t="str">
        <f>'[6]TS BYDem'!D32</f>
        <v>RHEL</v>
      </c>
      <c r="E121" s="299" t="s">
        <v>137</v>
      </c>
      <c r="F121" s="299" t="s">
        <v>137</v>
      </c>
      <c r="G121" s="299" t="s">
        <v>137</v>
      </c>
      <c r="H121" s="299" t="s">
        <v>137</v>
      </c>
      <c r="I121" s="299">
        <v>0</v>
      </c>
      <c r="J121" s="300">
        <f>'[6]TS BYDem'!J32</f>
        <v>29.15490908598996</v>
      </c>
      <c r="K121" s="301">
        <f t="shared" si="59"/>
        <v>29.919036883195538</v>
      </c>
      <c r="L121" s="301">
        <f t="shared" si="59"/>
        <v>30.683164680401113</v>
      </c>
      <c r="M121" s="301">
        <f t="shared" si="59"/>
        <v>31.447292477606691</v>
      </c>
      <c r="N121" s="301">
        <f t="shared" si="59"/>
        <v>32.211420274812269</v>
      </c>
      <c r="O121" s="301">
        <f>'[6]TS BYDem'!O32</f>
        <v>32.975548072017844</v>
      </c>
      <c r="P121" s="24">
        <f t="shared" ref="P121:AP121" ca="1" si="82">OFFSET(P$33,$BB121,$J$96)/OFFSET(O$33,$BB121,$J$96)*O121</f>
        <v>33.804307822467223</v>
      </c>
      <c r="Q121" s="24">
        <f t="shared" ca="1" si="82"/>
        <v>34.048937301737944</v>
      </c>
      <c r="R121" s="24">
        <f t="shared" ca="1" si="82"/>
        <v>30.674961643220815</v>
      </c>
      <c r="S121" s="24">
        <f t="shared" ca="1" si="82"/>
        <v>31.409797709953747</v>
      </c>
      <c r="T121" s="24">
        <f t="shared" ca="1" si="82"/>
        <v>32.359708171450215</v>
      </c>
      <c r="U121" s="24">
        <f t="shared" ca="1" si="82"/>
        <v>33.373622053330564</v>
      </c>
      <c r="V121" s="24">
        <f t="shared" ca="1" si="82"/>
        <v>34.341373138943283</v>
      </c>
      <c r="W121" s="24">
        <f t="shared" ca="1" si="82"/>
        <v>35.268394111074024</v>
      </c>
      <c r="X121" s="24">
        <f t="shared" ca="1" si="82"/>
        <v>36.605079014787655</v>
      </c>
      <c r="Y121" s="24">
        <f t="shared" ca="1" si="82"/>
        <v>37.91882077464156</v>
      </c>
      <c r="Z121" s="24">
        <f t="shared" ca="1" si="82"/>
        <v>39.283809655520606</v>
      </c>
      <c r="AA121" s="24">
        <f t="shared" ca="1" si="82"/>
        <v>40.823364741271384</v>
      </c>
      <c r="AB121" s="24">
        <f t="shared" ca="1" si="82"/>
        <v>42.176437737808243</v>
      </c>
      <c r="AC121" s="24">
        <f t="shared" ca="1" si="82"/>
        <v>43.733525201475075</v>
      </c>
      <c r="AD121" s="24">
        <f t="shared" ca="1" si="82"/>
        <v>45.104580798258311</v>
      </c>
      <c r="AE121" s="24">
        <f t="shared" ca="1" si="82"/>
        <v>46.611003242354435</v>
      </c>
      <c r="AF121" s="24">
        <f t="shared" ca="1" si="82"/>
        <v>48.203118003319283</v>
      </c>
      <c r="AG121" s="24">
        <f t="shared" ca="1" si="82"/>
        <v>49.874111716554246</v>
      </c>
      <c r="AH121" s="24">
        <f t="shared" ca="1" si="82"/>
        <v>51.517673605292359</v>
      </c>
      <c r="AI121" s="24">
        <f t="shared" ca="1" si="82"/>
        <v>53.154590398527901</v>
      </c>
      <c r="AJ121" s="24">
        <f t="shared" ca="1" si="82"/>
        <v>54.732648125781083</v>
      </c>
      <c r="AK121" s="24">
        <f t="shared" ca="1" si="82"/>
        <v>56.31047755429411</v>
      </c>
      <c r="AL121" s="24">
        <f t="shared" ca="1" si="82"/>
        <v>57.912186961299497</v>
      </c>
      <c r="AM121" s="24">
        <f t="shared" ca="1" si="82"/>
        <v>66.910941235424843</v>
      </c>
      <c r="AN121" s="24">
        <f t="shared" ca="1" si="82"/>
        <v>75.561479500453586</v>
      </c>
      <c r="AO121" s="24">
        <f t="shared" ca="1" si="82"/>
        <v>75.561479500453586</v>
      </c>
      <c r="AP121" s="24">
        <f t="shared" ca="1" si="82"/>
        <v>75.561479500453586</v>
      </c>
      <c r="AQ121" s="300"/>
      <c r="AR121" s="300"/>
      <c r="AS121" s="300"/>
      <c r="AU121" s="300"/>
      <c r="AV121" s="300"/>
      <c r="BB121" s="302">
        <f t="shared" si="62"/>
        <v>3</v>
      </c>
    </row>
    <row r="122" spans="1:54">
      <c r="A122" s="22" t="str">
        <f>'[6]TS BYDem'!A33</f>
        <v/>
      </c>
      <c r="B122" s="22" t="str">
        <f>'[6]TS BYDem'!B33</f>
        <v>COM_PROJ</v>
      </c>
      <c r="C122" s="22" t="str">
        <f>'[6]TS BYDem'!C33</f>
        <v>-</v>
      </c>
      <c r="D122" s="22" t="str">
        <f>'[6]TS BYDem'!D33</f>
        <v>RHEK</v>
      </c>
      <c r="E122" s="132" t="s">
        <v>137</v>
      </c>
      <c r="F122" s="132" t="s">
        <v>137</v>
      </c>
      <c r="G122" s="132" t="s">
        <v>137</v>
      </c>
      <c r="H122" s="132" t="s">
        <v>137</v>
      </c>
      <c r="I122" s="132">
        <v>0</v>
      </c>
      <c r="J122" s="6">
        <f>'[6]TS BYDem'!J33</f>
        <v>3.8919130042693295</v>
      </c>
      <c r="K122" s="24">
        <f t="shared" si="59"/>
        <v>4.2233553788747606</v>
      </c>
      <c r="L122" s="24">
        <f t="shared" si="59"/>
        <v>4.5547977534801918</v>
      </c>
      <c r="M122" s="24">
        <f t="shared" si="59"/>
        <v>4.886240128085622</v>
      </c>
      <c r="N122" s="24">
        <f t="shared" si="59"/>
        <v>5.2176825026910532</v>
      </c>
      <c r="O122" s="24">
        <f>'[6]TS BYDem'!O33</f>
        <v>5.5491248772964843</v>
      </c>
      <c r="P122" s="24">
        <f t="shared" ref="P122:AP122" ca="1" si="83">OFFSET(P$33,$BB122,$J$96)/OFFSET(O$33,$BB122,$J$96)*O122</f>
        <v>5.6885885592488448</v>
      </c>
      <c r="Q122" s="24">
        <f t="shared" ca="1" si="83"/>
        <v>5.7297548054072571</v>
      </c>
      <c r="R122" s="24">
        <f t="shared" ca="1" si="83"/>
        <v>5.1619822176346313</v>
      </c>
      <c r="S122" s="24">
        <f t="shared" ca="1" si="83"/>
        <v>5.2856404230945317</v>
      </c>
      <c r="T122" s="24">
        <f t="shared" ca="1" si="83"/>
        <v>5.4454913454076985</v>
      </c>
      <c r="U122" s="24">
        <f t="shared" ca="1" si="83"/>
        <v>5.6161127626193466</v>
      </c>
      <c r="V122" s="24">
        <f t="shared" ca="1" si="83"/>
        <v>5.7789659049682127</v>
      </c>
      <c r="W122" s="24">
        <f t="shared" ca="1" si="83"/>
        <v>5.9349649842554326</v>
      </c>
      <c r="X122" s="24">
        <f t="shared" ca="1" si="83"/>
        <v>6.1599023055731701</v>
      </c>
      <c r="Y122" s="24">
        <f t="shared" ca="1" si="83"/>
        <v>6.3809787548872832</v>
      </c>
      <c r="Z122" s="24">
        <f t="shared" ca="1" si="83"/>
        <v>6.6106790691800574</v>
      </c>
      <c r="AA122" s="24">
        <f t="shared" ca="1" si="83"/>
        <v>6.8697553825638362</v>
      </c>
      <c r="AB122" s="24">
        <f t="shared" ca="1" si="83"/>
        <v>7.0974504919668</v>
      </c>
      <c r="AC122" s="24">
        <f t="shared" ca="1" si="83"/>
        <v>7.359477153719002</v>
      </c>
      <c r="AD122" s="24">
        <f t="shared" ca="1" si="83"/>
        <v>7.5901983748993258</v>
      </c>
      <c r="AE122" s="24">
        <f t="shared" ca="1" si="83"/>
        <v>7.8436991276994013</v>
      </c>
      <c r="AF122" s="24">
        <f t="shared" ca="1" si="83"/>
        <v>8.1116201826667336</v>
      </c>
      <c r="AG122" s="24">
        <f t="shared" ca="1" si="83"/>
        <v>8.3928149868794524</v>
      </c>
      <c r="AH122" s="24">
        <f t="shared" ca="1" si="83"/>
        <v>8.6693935639588826</v>
      </c>
      <c r="AI122" s="24">
        <f t="shared" ca="1" si="83"/>
        <v>8.9448539044381281</v>
      </c>
      <c r="AJ122" s="24">
        <f t="shared" ca="1" si="83"/>
        <v>9.210409441922625</v>
      </c>
      <c r="AK122" s="24">
        <f t="shared" ca="1" si="83"/>
        <v>9.4759265612975678</v>
      </c>
      <c r="AL122" s="24">
        <f t="shared" ca="1" si="83"/>
        <v>9.7454622031981071</v>
      </c>
      <c r="AM122" s="24">
        <f t="shared" ca="1" si="83"/>
        <v>11.25977247631835</v>
      </c>
      <c r="AN122" s="24">
        <f t="shared" ca="1" si="83"/>
        <v>12.715484963147649</v>
      </c>
      <c r="AO122" s="24">
        <f t="shared" ca="1" si="83"/>
        <v>12.715484963147649</v>
      </c>
      <c r="AP122" s="24">
        <f t="shared" ca="1" si="83"/>
        <v>12.715484963147649</v>
      </c>
      <c r="AQ122" s="6"/>
      <c r="AR122" s="226"/>
      <c r="AS122" s="226"/>
      <c r="AT122" s="225"/>
      <c r="AU122" s="6"/>
      <c r="AV122" s="6"/>
      <c r="BB122" s="4">
        <f t="shared" si="62"/>
        <v>3</v>
      </c>
    </row>
    <row r="123" spans="1:54">
      <c r="A123" s="22" t="str">
        <f>'[6]TS BYDem'!A34</f>
        <v/>
      </c>
      <c r="B123" s="22" t="str">
        <f>'[6]TS BYDem'!B34</f>
        <v>COM_PROJ</v>
      </c>
      <c r="C123" s="22" t="str">
        <f>'[6]TS BYDem'!C34</f>
        <v>-</v>
      </c>
      <c r="D123" s="22" t="str">
        <f>'[6]TS BYDem'!D34</f>
        <v>RHEH</v>
      </c>
      <c r="E123" s="132" t="s">
        <v>137</v>
      </c>
      <c r="F123" s="132" t="s">
        <v>137</v>
      </c>
      <c r="G123" s="132" t="s">
        <v>137</v>
      </c>
      <c r="H123" s="132" t="s">
        <v>137</v>
      </c>
      <c r="I123" s="132">
        <v>0</v>
      </c>
      <c r="J123" s="6">
        <f>'[6]TS BYDem'!J34</f>
        <v>7.0842557645058601</v>
      </c>
      <c r="K123" s="24">
        <f t="shared" si="59"/>
        <v>7.2302855472935121</v>
      </c>
      <c r="L123" s="24">
        <f t="shared" si="59"/>
        <v>7.3763153300811641</v>
      </c>
      <c r="M123" s="24">
        <f t="shared" si="59"/>
        <v>7.5223451128688161</v>
      </c>
      <c r="N123" s="24">
        <f t="shared" si="59"/>
        <v>7.6683748956564681</v>
      </c>
      <c r="O123" s="24">
        <f>'[6]TS BYDem'!O34</f>
        <v>7.8144046784441201</v>
      </c>
      <c r="P123" s="24">
        <f ca="1">IF($E$78=1, P91,P83)</f>
        <v>8.0108006278631798</v>
      </c>
      <c r="Q123" s="24">
        <f t="shared" ref="Q123:AP123" ca="1" si="84">IF($E$78=1, Q91,Q83)</f>
        <v>8.0687718780490307</v>
      </c>
      <c r="R123" s="24">
        <f t="shared" ca="1" si="84"/>
        <v>7.2692215229407262</v>
      </c>
      <c r="S123" s="24">
        <f t="shared" ca="1" si="84"/>
        <v>7.4433598385564741</v>
      </c>
      <c r="T123" s="24">
        <f t="shared" ca="1" si="84"/>
        <v>7.6684655665404149</v>
      </c>
      <c r="U123" s="24">
        <f t="shared" ca="1" si="84"/>
        <v>7.9087385519901581</v>
      </c>
      <c r="V123" s="24">
        <f t="shared" ca="1" si="84"/>
        <v>8.1380720749528486</v>
      </c>
      <c r="W123" s="24">
        <f t="shared" ca="1" si="84"/>
        <v>8.3577535494142676</v>
      </c>
      <c r="X123" s="24">
        <f t="shared" ca="1" si="84"/>
        <v>8.6745154343834869</v>
      </c>
      <c r="Y123" s="24">
        <f t="shared" ca="1" si="84"/>
        <v>8.9858403510171332</v>
      </c>
      <c r="Z123" s="24">
        <f t="shared" ca="1" si="84"/>
        <v>9.3093095917245154</v>
      </c>
      <c r="AA123" s="24">
        <f t="shared" ca="1" si="84"/>
        <v>9.6741467868042914</v>
      </c>
      <c r="AB123" s="24">
        <f t="shared" ca="1" si="84"/>
        <v>9.9947922520842578</v>
      </c>
      <c r="AC123" s="24">
        <f t="shared" ca="1" si="84"/>
        <v>10.363784195273519</v>
      </c>
      <c r="AD123" s="24">
        <f t="shared" ca="1" si="84"/>
        <v>10.688691100429752</v>
      </c>
      <c r="AE123" s="24">
        <f t="shared" ca="1" si="84"/>
        <v>11.045676663464176</v>
      </c>
      <c r="AF123" s="24">
        <f t="shared" ca="1" si="84"/>
        <v>11.422969226108833</v>
      </c>
      <c r="AG123" s="24">
        <f t="shared" ca="1" si="84"/>
        <v>11.81895418629315</v>
      </c>
      <c r="AH123" s="24">
        <f t="shared" ca="1" si="84"/>
        <v>12.208438469757301</v>
      </c>
      <c r="AI123" s="24">
        <f t="shared" ca="1" si="84"/>
        <v>12.596348026843271</v>
      </c>
      <c r="AJ123" s="24">
        <f t="shared" ca="1" si="84"/>
        <v>12.97030941361902</v>
      </c>
      <c r="AK123" s="24">
        <f t="shared" ca="1" si="84"/>
        <v>13.344216699133456</v>
      </c>
      <c r="AL123" s="24">
        <f t="shared" ca="1" si="84"/>
        <v>13.723782960057317</v>
      </c>
      <c r="AM123" s="24">
        <f t="shared" ca="1" si="84"/>
        <v>15.856269351073989</v>
      </c>
      <c r="AN123" s="24">
        <f t="shared" ca="1" si="84"/>
        <v>17.906236998060969</v>
      </c>
      <c r="AO123" s="24">
        <f t="shared" ca="1" si="84"/>
        <v>17.906236998060969</v>
      </c>
      <c r="AP123" s="24">
        <f t="shared" ca="1" si="84"/>
        <v>17.906236998060969</v>
      </c>
      <c r="AQ123" s="6"/>
      <c r="AR123" s="226"/>
      <c r="AS123" s="226"/>
      <c r="AT123" s="225"/>
      <c r="AU123" s="6"/>
      <c r="AV123" s="6"/>
      <c r="BB123" s="4">
        <f t="shared" si="62"/>
        <v>3</v>
      </c>
    </row>
    <row r="124" spans="1:54">
      <c r="A124" s="22" t="str">
        <f>'[6]TS BYDem'!A35</f>
        <v/>
      </c>
      <c r="B124" s="22" t="str">
        <f>'[6]TS BYDem'!B35</f>
        <v>COM_PROJ</v>
      </c>
      <c r="C124" s="22" t="str">
        <f>'[6]TS BYDem'!C35</f>
        <v>-</v>
      </c>
      <c r="D124" s="22" t="str">
        <f>'[6]TS BYDem'!D35</f>
        <v>RHEWG</v>
      </c>
      <c r="E124" s="132" t="s">
        <v>137</v>
      </c>
      <c r="F124" s="132" t="s">
        <v>137</v>
      </c>
      <c r="G124" s="132" t="s">
        <v>137</v>
      </c>
      <c r="H124" s="132" t="s">
        <v>137</v>
      </c>
      <c r="I124" s="132">
        <v>0</v>
      </c>
      <c r="J124" s="6">
        <f>'[6]TS BYDem'!J35</f>
        <v>31.741720257828536</v>
      </c>
      <c r="K124" s="24">
        <f t="shared" si="59"/>
        <v>32.208008967956879</v>
      </c>
      <c r="L124" s="24">
        <f t="shared" si="59"/>
        <v>32.674297678085217</v>
      </c>
      <c r="M124" s="24">
        <f t="shared" si="59"/>
        <v>33.140586388213556</v>
      </c>
      <c r="N124" s="24">
        <f t="shared" si="59"/>
        <v>33.606875098341902</v>
      </c>
      <c r="O124" s="24">
        <f>'[6]TS BYDem'!O35</f>
        <v>34.073163808470241</v>
      </c>
      <c r="P124" s="24">
        <f t="shared" ref="P124" ca="1" si="85">OFFSET(P$33,$BB124,$J$96)/OFFSET(O$33,$BB124,$J$96)*O124</f>
        <v>34.929509445948547</v>
      </c>
      <c r="Q124" s="24">
        <f t="shared" ref="Q124:AP124" ca="1" si="86">OFFSET(Q$33,$BB124,$J$96)/OFFSET(P$33,$BB124,$J$96)*P124</f>
        <v>35.182281600072201</v>
      </c>
      <c r="R124" s="24">
        <f t="shared" ca="1" si="86"/>
        <v>31.696000642819545</v>
      </c>
      <c r="S124" s="24">
        <f t="shared" ca="1" si="86"/>
        <v>32.455296276647388</v>
      </c>
      <c r="T124" s="24">
        <f t="shared" ca="1" si="86"/>
        <v>33.436825217038646</v>
      </c>
      <c r="U124" s="24">
        <f t="shared" ca="1" si="86"/>
        <v>34.484487979444921</v>
      </c>
      <c r="V124" s="24">
        <f t="shared" ca="1" si="86"/>
        <v>35.484451382445584</v>
      </c>
      <c r="W124" s="24">
        <f t="shared" ca="1" si="86"/>
        <v>36.442328939728746</v>
      </c>
      <c r="X124" s="24">
        <f t="shared" ca="1" si="86"/>
        <v>37.823506398404326</v>
      </c>
      <c r="Y124" s="24">
        <f t="shared" ca="1" si="86"/>
        <v>39.180977033547919</v>
      </c>
      <c r="Z124" s="24">
        <f t="shared" ca="1" si="86"/>
        <v>40.591400588400035</v>
      </c>
      <c r="AA124" s="24">
        <f t="shared" ca="1" si="86"/>
        <v>42.182200914580626</v>
      </c>
      <c r="AB124" s="24">
        <f t="shared" ca="1" si="86"/>
        <v>43.580311955984072</v>
      </c>
      <c r="AC124" s="24">
        <f t="shared" ca="1" si="86"/>
        <v>45.189228238368969</v>
      </c>
      <c r="AD124" s="24">
        <f t="shared" ca="1" si="86"/>
        <v>46.605920444293432</v>
      </c>
      <c r="AE124" s="24">
        <f t="shared" ca="1" si="86"/>
        <v>48.162485284105735</v>
      </c>
      <c r="AF124" s="24">
        <f t="shared" ca="1" si="86"/>
        <v>49.807594773529885</v>
      </c>
      <c r="AG124" s="24">
        <f t="shared" ca="1" si="86"/>
        <v>51.534208760039888</v>
      </c>
      <c r="AH124" s="24">
        <f t="shared" ca="1" si="86"/>
        <v>53.232477833294617</v>
      </c>
      <c r="AI124" s="24">
        <f t="shared" ca="1" si="86"/>
        <v>54.923880624081882</v>
      </c>
      <c r="AJ124" s="24">
        <f t="shared" ca="1" si="86"/>
        <v>56.554465180932574</v>
      </c>
      <c r="AK124" s="24">
        <f t="shared" ca="1" si="86"/>
        <v>58.184813839949101</v>
      </c>
      <c r="AL124" s="24">
        <f t="shared" ca="1" si="86"/>
        <v>59.839837340370416</v>
      </c>
      <c r="AM124" s="24">
        <f t="shared" ca="1" si="86"/>
        <v>69.138121868797427</v>
      </c>
      <c r="AN124" s="24">
        <f t="shared" ca="1" si="86"/>
        <v>78.076599758294051</v>
      </c>
      <c r="AO124" s="24">
        <f t="shared" ca="1" si="86"/>
        <v>78.076599758294051</v>
      </c>
      <c r="AP124" s="24">
        <f t="shared" ca="1" si="86"/>
        <v>78.076599758294051</v>
      </c>
      <c r="AQ124" s="6"/>
      <c r="AR124" s="226"/>
      <c r="AS124" s="226"/>
      <c r="AT124" s="225"/>
      <c r="AU124" s="6"/>
      <c r="AV124" s="6"/>
      <c r="BB124" s="4">
        <f t="shared" si="62"/>
        <v>3</v>
      </c>
    </row>
    <row r="125" spans="1:54">
      <c r="A125" s="22" t="str">
        <f>'[6]TS BYDem'!A36</f>
        <v/>
      </c>
      <c r="B125" s="22" t="str">
        <f>'[6]TS BYDem'!B36</f>
        <v>COM_PROJ</v>
      </c>
      <c r="C125" s="22" t="str">
        <f>'[6]TS BYDem'!C36</f>
        <v>-</v>
      </c>
      <c r="D125" s="22" t="str">
        <f>'[6]TS BYDem'!D36</f>
        <v>RHEW</v>
      </c>
      <c r="E125" s="132" t="s">
        <v>137</v>
      </c>
      <c r="F125" s="132" t="s">
        <v>137</v>
      </c>
      <c r="G125" s="132" t="s">
        <v>137</v>
      </c>
      <c r="H125" s="132" t="s">
        <v>137</v>
      </c>
      <c r="I125" s="132">
        <v>0</v>
      </c>
      <c r="J125" s="6">
        <f>'[6]TS BYDem'!J36</f>
        <v>0.56043977372187515</v>
      </c>
      <c r="K125" s="24">
        <f t="shared" si="59"/>
        <v>1.8567305480628324</v>
      </c>
      <c r="L125" s="24">
        <f t="shared" si="59"/>
        <v>3.1530213224037897</v>
      </c>
      <c r="M125" s="24">
        <f t="shared" si="59"/>
        <v>4.4493120967447473</v>
      </c>
      <c r="N125" s="24">
        <f t="shared" si="59"/>
        <v>5.7456028710857048</v>
      </c>
      <c r="O125" s="24">
        <f>'[6]TS BYDem'!O36</f>
        <v>7.0418936454266614</v>
      </c>
      <c r="P125" s="24">
        <f t="shared" ref="P125:AP125" ca="1" si="87">OFFSET(P$33,$BB125,$J$96)/OFFSET(O$33,$BB125,$J$96)*O125</f>
        <v>7.2188744194089196</v>
      </c>
      <c r="Q125" s="24">
        <f t="shared" ca="1" si="87"/>
        <v>7.2711147876902382</v>
      </c>
      <c r="R125" s="24">
        <f t="shared" ca="1" si="87"/>
        <v>6.5506058306398049</v>
      </c>
      <c r="S125" s="24">
        <f t="shared" ca="1" si="87"/>
        <v>6.7075293006441754</v>
      </c>
      <c r="T125" s="24">
        <f t="shared" ca="1" si="87"/>
        <v>6.9103816816850392</v>
      </c>
      <c r="U125" s="24">
        <f t="shared" ca="1" si="87"/>
        <v>7.1269019259044768</v>
      </c>
      <c r="V125" s="24">
        <f t="shared" ca="1" si="87"/>
        <v>7.3335641534813334</v>
      </c>
      <c r="W125" s="24">
        <f t="shared" ca="1" si="87"/>
        <v>7.5315285081167058</v>
      </c>
      <c r="X125" s="24">
        <f t="shared" ca="1" si="87"/>
        <v>7.8169761649332496</v>
      </c>
      <c r="Y125" s="24">
        <f t="shared" ca="1" si="87"/>
        <v>8.0975243374834793</v>
      </c>
      <c r="Z125" s="24">
        <f t="shared" ca="1" si="87"/>
        <v>8.3890162788864728</v>
      </c>
      <c r="AA125" s="24">
        <f t="shared" ca="1" si="87"/>
        <v>8.7177866499339949</v>
      </c>
      <c r="AB125" s="24">
        <f t="shared" ca="1" si="87"/>
        <v>9.0067339667549913</v>
      </c>
      <c r="AC125" s="24">
        <f t="shared" ca="1" si="87"/>
        <v>9.3392483586863104</v>
      </c>
      <c r="AD125" s="24">
        <f t="shared" ca="1" si="87"/>
        <v>9.632035840896723</v>
      </c>
      <c r="AE125" s="24">
        <f t="shared" ca="1" si="87"/>
        <v>9.9537307711292957</v>
      </c>
      <c r="AF125" s="24">
        <f t="shared" ca="1" si="87"/>
        <v>10.293725205597609</v>
      </c>
      <c r="AG125" s="24">
        <f t="shared" ca="1" si="87"/>
        <v>10.650564157450006</v>
      </c>
      <c r="AH125" s="24">
        <f t="shared" ca="1" si="87"/>
        <v>11.001545072002008</v>
      </c>
      <c r="AI125" s="24">
        <f t="shared" ca="1" si="87"/>
        <v>11.351106933391025</v>
      </c>
      <c r="AJ125" s="24">
        <f t="shared" ca="1" si="87"/>
        <v>11.68809950307906</v>
      </c>
      <c r="AK125" s="24">
        <f t="shared" ca="1" si="87"/>
        <v>12.025043319810994</v>
      </c>
      <c r="AL125" s="24">
        <f t="shared" ca="1" si="87"/>
        <v>12.367086680860767</v>
      </c>
      <c r="AM125" s="24">
        <f t="shared" ca="1" si="87"/>
        <v>14.288761201670079</v>
      </c>
      <c r="AN125" s="24">
        <f t="shared" ca="1" si="87"/>
        <v>16.136074559585666</v>
      </c>
      <c r="AO125" s="24">
        <f t="shared" ca="1" si="87"/>
        <v>16.136074559585666</v>
      </c>
      <c r="AP125" s="24">
        <f t="shared" ca="1" si="87"/>
        <v>16.136074559585666</v>
      </c>
      <c r="AQ125" s="6"/>
      <c r="AR125" s="226"/>
      <c r="AS125" s="226"/>
      <c r="AT125" s="225"/>
      <c r="AU125" s="6"/>
      <c r="AV125" s="6"/>
      <c r="BB125" s="4">
        <f t="shared" si="62"/>
        <v>3</v>
      </c>
    </row>
    <row r="126" spans="1:54">
      <c r="A126" s="22" t="str">
        <f>'[6]TS BYDem'!A37</f>
        <v/>
      </c>
      <c r="B126" s="22" t="str">
        <f>'[6]TS BYDem'!B37</f>
        <v>COM_PROJ</v>
      </c>
      <c r="C126" s="22" t="str">
        <f>'[6]TS BYDem'!C37</f>
        <v>-</v>
      </c>
      <c r="D126" s="22" t="str">
        <f>'[6]TS BYDem'!D37</f>
        <v>RHER</v>
      </c>
      <c r="E126" s="132" t="s">
        <v>137</v>
      </c>
      <c r="F126" s="132" t="s">
        <v>137</v>
      </c>
      <c r="G126" s="132" t="s">
        <v>137</v>
      </c>
      <c r="H126" s="132" t="s">
        <v>137</v>
      </c>
      <c r="I126" s="132">
        <v>0</v>
      </c>
      <c r="J126" s="6">
        <f>'[6]TS BYDem'!J37</f>
        <v>5.223009778600523</v>
      </c>
      <c r="K126" s="24">
        <f t="shared" si="59"/>
        <v>5.3613760001895816</v>
      </c>
      <c r="L126" s="24">
        <f t="shared" si="59"/>
        <v>5.4997422217786411</v>
      </c>
      <c r="M126" s="24">
        <f t="shared" si="59"/>
        <v>5.6381084433676998</v>
      </c>
      <c r="N126" s="24">
        <f t="shared" si="59"/>
        <v>5.7764746649567593</v>
      </c>
      <c r="O126" s="24">
        <f>'[6]TS BYDem'!O37</f>
        <v>5.914840886545818</v>
      </c>
      <c r="P126" s="24">
        <f t="shared" ref="P126:AP126" ca="1" si="88">OFFSET(P$33,$BB126,$J$96)/OFFSET(O$33,$BB126,$J$96)*O126</f>
        <v>6.06349594593636</v>
      </c>
      <c r="Q126" s="24">
        <f t="shared" ca="1" si="88"/>
        <v>6.1073752604782978</v>
      </c>
      <c r="R126" s="24">
        <f t="shared" ca="1" si="88"/>
        <v>5.5021835247223718</v>
      </c>
      <c r="S126" s="24">
        <f t="shared" ca="1" si="88"/>
        <v>5.6339914450313211</v>
      </c>
      <c r="T126" s="24">
        <f t="shared" ca="1" si="88"/>
        <v>5.8043773692908989</v>
      </c>
      <c r="U126" s="24">
        <f t="shared" ca="1" si="88"/>
        <v>5.9862436197284854</v>
      </c>
      <c r="V126" s="24">
        <f t="shared" ca="1" si="88"/>
        <v>6.159829625840648</v>
      </c>
      <c r="W126" s="24">
        <f t="shared" ca="1" si="88"/>
        <v>6.3261098507111857</v>
      </c>
      <c r="X126" s="24">
        <f t="shared" ca="1" si="88"/>
        <v>6.5658717040592132</v>
      </c>
      <c r="Y126" s="24">
        <f t="shared" ca="1" si="88"/>
        <v>6.8015182339842282</v>
      </c>
      <c r="Z126" s="24">
        <f t="shared" ca="1" si="88"/>
        <v>7.0463569861611752</v>
      </c>
      <c r="AA126" s="24">
        <f t="shared" ca="1" si="88"/>
        <v>7.322507767594753</v>
      </c>
      <c r="AB126" s="24">
        <f t="shared" ca="1" si="88"/>
        <v>7.5652091615160453</v>
      </c>
      <c r="AC126" s="24">
        <f t="shared" ca="1" si="88"/>
        <v>7.8445047345239667</v>
      </c>
      <c r="AD126" s="24">
        <f t="shared" ca="1" si="88"/>
        <v>8.0904316766287607</v>
      </c>
      <c r="AE126" s="24">
        <f t="shared" ca="1" si="88"/>
        <v>8.360639439219705</v>
      </c>
      <c r="AF126" s="24">
        <f t="shared" ca="1" si="88"/>
        <v>8.6462178764199376</v>
      </c>
      <c r="AG126" s="24">
        <f t="shared" ca="1" si="88"/>
        <v>8.9459448715442491</v>
      </c>
      <c r="AH126" s="24">
        <f t="shared" ca="1" si="88"/>
        <v>9.2407514063088971</v>
      </c>
      <c r="AI126" s="24">
        <f t="shared" ca="1" si="88"/>
        <v>9.5343660069019656</v>
      </c>
      <c r="AJ126" s="24">
        <f t="shared" ca="1" si="88"/>
        <v>9.8174230267914169</v>
      </c>
      <c r="AK126" s="24">
        <f t="shared" ca="1" si="88"/>
        <v>10.100439096619334</v>
      </c>
      <c r="AL126" s="24">
        <f t="shared" ca="1" si="88"/>
        <v>10.387738530376428</v>
      </c>
      <c r="AM126" s="24">
        <f t="shared" ca="1" si="88"/>
        <v>12.001849676985143</v>
      </c>
      <c r="AN126" s="24">
        <f t="shared" ca="1" si="88"/>
        <v>13.553501140332305</v>
      </c>
      <c r="AO126" s="24">
        <f t="shared" ca="1" si="88"/>
        <v>13.553501140332305</v>
      </c>
      <c r="AP126" s="24">
        <f t="shared" ca="1" si="88"/>
        <v>13.553501140332305</v>
      </c>
      <c r="AQ126" s="6"/>
      <c r="AR126" s="226"/>
      <c r="AS126" s="226"/>
      <c r="AT126" s="225"/>
      <c r="AU126" s="6"/>
      <c r="AV126" s="6"/>
      <c r="BB126" s="4">
        <f t="shared" si="62"/>
        <v>3</v>
      </c>
    </row>
    <row r="127" spans="1:54">
      <c r="A127" s="22" t="str">
        <f>'[6]TS BYDem'!A38</f>
        <v/>
      </c>
      <c r="B127" s="22" t="str">
        <f>'[6]TS BYDem'!B38</f>
        <v>COM_PROJ</v>
      </c>
      <c r="C127" s="22" t="str">
        <f>'[6]TS BYDem'!C38</f>
        <v>-</v>
      </c>
      <c r="D127" s="22" t="str">
        <f>'[6]TS BYDem'!D38</f>
        <v>RHEO</v>
      </c>
      <c r="E127" s="132" t="s">
        <v>137</v>
      </c>
      <c r="F127" s="132" t="s">
        <v>137</v>
      </c>
      <c r="G127" s="132" t="s">
        <v>137</v>
      </c>
      <c r="H127" s="132" t="s">
        <v>137</v>
      </c>
      <c r="I127" s="132">
        <v>0</v>
      </c>
      <c r="J127" s="6">
        <f>'[6]TS BYDem'!J38</f>
        <v>11.690334156193106</v>
      </c>
      <c r="K127" s="24">
        <f t="shared" si="59"/>
        <v>12.00003056398719</v>
      </c>
      <c r="L127" s="24">
        <f t="shared" si="59"/>
        <v>12.309726971781274</v>
      </c>
      <c r="M127" s="24">
        <f t="shared" si="59"/>
        <v>12.619423379575359</v>
      </c>
      <c r="N127" s="24">
        <f t="shared" si="59"/>
        <v>12.929119787369443</v>
      </c>
      <c r="O127" s="24">
        <f>'[6]TS BYDem'!O38</f>
        <v>13.238816195163526</v>
      </c>
      <c r="P127" s="24">
        <f ca="1">IF($E$78=1, P93,P85)</f>
        <v>13.571541461236034</v>
      </c>
      <c r="Q127" s="24">
        <f t="shared" ref="Q127:AP127" ca="1" si="89">IF($E$78=1, Q93,Q85)</f>
        <v>13.669753770093209</v>
      </c>
      <c r="R127" s="24">
        <f t="shared" ca="1" si="89"/>
        <v>12.31519118655369</v>
      </c>
      <c r="S127" s="24">
        <f t="shared" ca="1" si="89"/>
        <v>12.610208561240162</v>
      </c>
      <c r="T127" s="24">
        <f t="shared" ca="1" si="89"/>
        <v>12.991572654845207</v>
      </c>
      <c r="U127" s="24">
        <f t="shared" ca="1" si="89"/>
        <v>13.398632440193525</v>
      </c>
      <c r="V127" s="24">
        <f t="shared" ca="1" si="89"/>
        <v>13.787159075660382</v>
      </c>
      <c r="W127" s="24">
        <f t="shared" ca="1" si="89"/>
        <v>14.159333640653129</v>
      </c>
      <c r="X127" s="24">
        <f t="shared" ca="1" si="89"/>
        <v>14.695977511210389</v>
      </c>
      <c r="Y127" s="24">
        <f t="shared" ca="1" si="89"/>
        <v>15.223410312285656</v>
      </c>
      <c r="Z127" s="24">
        <f t="shared" ca="1" si="89"/>
        <v>15.771417486053727</v>
      </c>
      <c r="AA127" s="24">
        <f t="shared" ca="1" si="89"/>
        <v>16.389508404757191</v>
      </c>
      <c r="AB127" s="24">
        <f t="shared" ca="1" si="89"/>
        <v>16.932731664023994</v>
      </c>
      <c r="AC127" s="24">
        <f t="shared" ca="1" si="89"/>
        <v>17.557861371838342</v>
      </c>
      <c r="AD127" s="24">
        <f t="shared" ca="1" si="89"/>
        <v>18.10830417265311</v>
      </c>
      <c r="AE127" s="24">
        <f t="shared" ca="1" si="89"/>
        <v>18.713093206215252</v>
      </c>
      <c r="AF127" s="24">
        <f t="shared" ca="1" si="89"/>
        <v>19.352285453634071</v>
      </c>
      <c r="AG127" s="24">
        <f t="shared" ca="1" si="89"/>
        <v>20.023145528028515</v>
      </c>
      <c r="AH127" s="24">
        <f t="shared" ca="1" si="89"/>
        <v>20.682992445594795</v>
      </c>
      <c r="AI127" s="24">
        <f t="shared" ca="1" si="89"/>
        <v>21.340171531901209</v>
      </c>
      <c r="AJ127" s="24">
        <f t="shared" ca="1" si="89"/>
        <v>21.973720249600625</v>
      </c>
      <c r="AK127" s="24">
        <f t="shared" ca="1" si="89"/>
        <v>22.607177311353887</v>
      </c>
      <c r="AL127" s="24">
        <f t="shared" ca="1" si="89"/>
        <v>23.250221557080994</v>
      </c>
      <c r="AM127" s="24">
        <f t="shared" ca="1" si="89"/>
        <v>26.862984976824745</v>
      </c>
      <c r="AN127" s="24">
        <f t="shared" ca="1" si="89"/>
        <v>30.335948817481128</v>
      </c>
      <c r="AO127" s="24">
        <f t="shared" ca="1" si="89"/>
        <v>30.335948817481128</v>
      </c>
      <c r="AP127" s="24">
        <f t="shared" ca="1" si="89"/>
        <v>30.335948817481128</v>
      </c>
      <c r="AQ127" s="6"/>
      <c r="AR127" s="226"/>
      <c r="AS127" s="226"/>
      <c r="AT127" s="225"/>
      <c r="AU127" s="6"/>
      <c r="AV127" s="6"/>
      <c r="BB127" s="4">
        <f t="shared" si="62"/>
        <v>3</v>
      </c>
    </row>
    <row r="128" spans="1:54">
      <c r="A128" s="22" t="str">
        <f>'[6]TS BYDem'!A39</f>
        <v>*</v>
      </c>
      <c r="B128" s="22" t="str">
        <f>'[6]TS BYDem'!B39</f>
        <v>COM_PROJ</v>
      </c>
      <c r="C128" s="22" t="str">
        <f>'[6]TS BYDem'!C39</f>
        <v>-</v>
      </c>
      <c r="D128" s="22">
        <f>'[6]TS BYDem'!D39</f>
        <v>0</v>
      </c>
      <c r="E128" s="132" t="s">
        <v>137</v>
      </c>
      <c r="F128" s="132" t="s">
        <v>137</v>
      </c>
      <c r="G128" s="132" t="s">
        <v>137</v>
      </c>
      <c r="H128" s="132" t="s">
        <v>137</v>
      </c>
      <c r="I128" s="132">
        <v>0</v>
      </c>
      <c r="J128" s="6">
        <f>'[6]TS BYDem'!J39</f>
        <v>0</v>
      </c>
      <c r="K128" s="24">
        <f t="shared" si="59"/>
        <v>0</v>
      </c>
      <c r="L128" s="24">
        <f t="shared" si="59"/>
        <v>0</v>
      </c>
      <c r="M128" s="24">
        <f t="shared" si="59"/>
        <v>0</v>
      </c>
      <c r="N128" s="24">
        <f t="shared" si="59"/>
        <v>0</v>
      </c>
      <c r="O128" s="24">
        <f>'[6]TS BYDem'!O39</f>
        <v>0</v>
      </c>
      <c r="P128" s="24" t="e">
        <f t="shared" ref="P128:AP128" ca="1" si="90">OFFSET(P$33,$BB128,$J$96)/OFFSET(O$33,$BB128,$J$96)*O128</f>
        <v>#N/A</v>
      </c>
      <c r="Q128" s="24" t="e">
        <f t="shared" ca="1" si="90"/>
        <v>#N/A</v>
      </c>
      <c r="R128" s="24" t="e">
        <f t="shared" ca="1" si="90"/>
        <v>#N/A</v>
      </c>
      <c r="S128" s="24" t="e">
        <f t="shared" ca="1" si="90"/>
        <v>#N/A</v>
      </c>
      <c r="T128" s="24" t="e">
        <f t="shared" ca="1" si="90"/>
        <v>#N/A</v>
      </c>
      <c r="U128" s="24" t="e">
        <f t="shared" ca="1" si="90"/>
        <v>#N/A</v>
      </c>
      <c r="V128" s="24" t="e">
        <f t="shared" ca="1" si="90"/>
        <v>#N/A</v>
      </c>
      <c r="W128" s="24" t="e">
        <f t="shared" ca="1" si="90"/>
        <v>#N/A</v>
      </c>
      <c r="X128" s="24" t="e">
        <f t="shared" ca="1" si="90"/>
        <v>#N/A</v>
      </c>
      <c r="Y128" s="24" t="e">
        <f t="shared" ca="1" si="90"/>
        <v>#N/A</v>
      </c>
      <c r="Z128" s="24" t="e">
        <f t="shared" ca="1" si="90"/>
        <v>#N/A</v>
      </c>
      <c r="AA128" s="24" t="e">
        <f t="shared" ca="1" si="90"/>
        <v>#N/A</v>
      </c>
      <c r="AB128" s="24" t="e">
        <f t="shared" ca="1" si="90"/>
        <v>#N/A</v>
      </c>
      <c r="AC128" s="24" t="e">
        <f t="shared" ca="1" si="90"/>
        <v>#N/A</v>
      </c>
      <c r="AD128" s="24" t="e">
        <f t="shared" ca="1" si="90"/>
        <v>#N/A</v>
      </c>
      <c r="AE128" s="24" t="e">
        <f t="shared" ca="1" si="90"/>
        <v>#N/A</v>
      </c>
      <c r="AF128" s="24" t="e">
        <f t="shared" ca="1" si="90"/>
        <v>#N/A</v>
      </c>
      <c r="AG128" s="24" t="e">
        <f t="shared" ca="1" si="90"/>
        <v>#N/A</v>
      </c>
      <c r="AH128" s="24" t="e">
        <f t="shared" ca="1" si="90"/>
        <v>#N/A</v>
      </c>
      <c r="AI128" s="24" t="e">
        <f t="shared" ca="1" si="90"/>
        <v>#N/A</v>
      </c>
      <c r="AJ128" s="24" t="e">
        <f t="shared" ca="1" si="90"/>
        <v>#N/A</v>
      </c>
      <c r="AK128" s="24" t="e">
        <f t="shared" ca="1" si="90"/>
        <v>#N/A</v>
      </c>
      <c r="AL128" s="24" t="e">
        <f t="shared" ca="1" si="90"/>
        <v>#N/A</v>
      </c>
      <c r="AM128" s="24" t="e">
        <f t="shared" ca="1" si="90"/>
        <v>#N/A</v>
      </c>
      <c r="AN128" s="24" t="e">
        <f t="shared" ca="1" si="90"/>
        <v>#N/A</v>
      </c>
      <c r="AO128" s="24" t="e">
        <f t="shared" ca="1" si="90"/>
        <v>#N/A</v>
      </c>
      <c r="AP128" s="24" t="e">
        <f t="shared" ca="1" si="90"/>
        <v>#N/A</v>
      </c>
      <c r="AQ128" s="6"/>
      <c r="AR128" s="6"/>
      <c r="AS128" s="6"/>
      <c r="AT128" s="6"/>
      <c r="AU128" s="6"/>
      <c r="AV128" s="6"/>
      <c r="BB128" s="4" t="e">
        <f t="shared" si="62"/>
        <v>#N/A</v>
      </c>
    </row>
    <row r="129" spans="1:48">
      <c r="A129" s="22"/>
      <c r="B129" s="22"/>
      <c r="C129" s="22"/>
      <c r="D129" s="22"/>
      <c r="E129" s="132"/>
      <c r="F129" s="132"/>
      <c r="G129" s="132"/>
      <c r="H129" s="132"/>
      <c r="I129" s="132"/>
      <c r="J129" s="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6"/>
      <c r="AR129" s="6"/>
      <c r="AS129" s="6"/>
      <c r="AT129" s="6"/>
      <c r="AU129" s="6"/>
      <c r="AV129" s="6"/>
    </row>
    <row r="130" spans="1:48">
      <c r="A130" s="22"/>
      <c r="B130" s="22"/>
      <c r="C130" s="22"/>
      <c r="D130" s="22"/>
      <c r="E130" s="132"/>
      <c r="F130" s="132"/>
      <c r="G130" s="132"/>
      <c r="H130" s="132"/>
      <c r="I130" s="132"/>
      <c r="J130" s="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6"/>
      <c r="AR130" s="6"/>
      <c r="AS130" s="6"/>
      <c r="AT130" s="6"/>
      <c r="AU130" s="6"/>
      <c r="AV130" s="6"/>
    </row>
    <row r="131" spans="1:48">
      <c r="A131" s="22"/>
      <c r="B131" s="22"/>
      <c r="C131" s="22"/>
      <c r="D131" s="22"/>
      <c r="E131" s="132"/>
      <c r="F131" s="132"/>
      <c r="G131" s="132"/>
      <c r="H131" s="132"/>
      <c r="I131" s="132"/>
      <c r="J131" s="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6"/>
      <c r="AR131" s="6"/>
      <c r="AS131" s="6"/>
      <c r="AT131" s="6"/>
      <c r="AU131" s="6"/>
      <c r="AV131" s="6"/>
    </row>
    <row r="132" spans="1:48">
      <c r="A132" s="22"/>
      <c r="B132" s="22"/>
      <c r="C132" s="22"/>
      <c r="D132" s="22"/>
      <c r="E132" s="132"/>
      <c r="F132" s="132"/>
      <c r="G132" s="132"/>
      <c r="H132" s="132"/>
      <c r="I132" s="132"/>
      <c r="J132" s="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6"/>
      <c r="AR132" s="6"/>
      <c r="AS132" s="6"/>
      <c r="AT132" s="6"/>
      <c r="AU132" s="6"/>
      <c r="AV132" s="6"/>
    </row>
    <row r="133" spans="1:48">
      <c r="A133" s="22"/>
      <c r="B133" s="22"/>
      <c r="C133" s="22"/>
      <c r="D133" s="22"/>
      <c r="E133" s="132"/>
      <c r="F133" s="132"/>
      <c r="G133" s="132"/>
      <c r="H133" s="132"/>
      <c r="I133" s="132"/>
      <c r="J133" s="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6"/>
      <c r="AR133" s="6"/>
      <c r="AS133" s="6"/>
      <c r="AT133" s="6"/>
      <c r="AU133" s="6"/>
      <c r="AV133" s="6"/>
    </row>
    <row r="134" spans="1:48">
      <c r="A134" s="22"/>
      <c r="B134" s="22"/>
      <c r="C134" s="22"/>
      <c r="D134" s="22"/>
      <c r="E134" s="132"/>
      <c r="F134" s="132"/>
      <c r="G134" s="132"/>
      <c r="H134" s="132"/>
      <c r="I134" s="132"/>
      <c r="J134" s="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6"/>
      <c r="AR134" s="6"/>
      <c r="AS134" s="6"/>
      <c r="AT134" s="6"/>
      <c r="AU134" s="6"/>
      <c r="AV134" s="6"/>
    </row>
    <row r="135" spans="1:48">
      <c r="A135" s="22"/>
      <c r="B135" s="22"/>
      <c r="C135" s="22"/>
      <c r="D135" s="22"/>
      <c r="E135" s="132"/>
      <c r="F135" s="132"/>
      <c r="G135" s="132"/>
      <c r="H135" s="132"/>
      <c r="I135" s="132"/>
      <c r="J135" s="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6"/>
      <c r="AR135" s="6"/>
      <c r="AS135" s="6"/>
      <c r="AT135" s="6"/>
      <c r="AU135" s="6"/>
      <c r="AV135" s="6"/>
    </row>
    <row r="136" spans="1:48">
      <c r="A136" s="22"/>
      <c r="B136" s="22"/>
      <c r="C136" s="22"/>
      <c r="D136" s="22"/>
      <c r="E136" s="132"/>
      <c r="F136" s="132"/>
      <c r="G136" s="132"/>
      <c r="H136" s="132"/>
      <c r="I136" s="132"/>
      <c r="J136" s="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6"/>
      <c r="AR136" s="6"/>
      <c r="AS136" s="6"/>
      <c r="AT136" s="6"/>
      <c r="AU136" s="6"/>
      <c r="AV136" s="6"/>
    </row>
    <row r="137" spans="1:48">
      <c r="A137" s="22"/>
      <c r="B137" s="22"/>
      <c r="C137" s="22"/>
      <c r="D137" s="22"/>
      <c r="E137" s="132"/>
      <c r="F137" s="132"/>
      <c r="G137" s="132"/>
      <c r="H137" s="132"/>
      <c r="I137" s="132"/>
      <c r="J137" s="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6"/>
      <c r="AR137" s="6"/>
      <c r="AS137" s="6"/>
      <c r="AT137" s="6"/>
      <c r="AU137" s="6"/>
      <c r="AV137" s="6"/>
    </row>
    <row r="138" spans="1:48">
      <c r="A138" s="22"/>
      <c r="B138" s="22"/>
      <c r="C138" s="22"/>
      <c r="D138" s="22"/>
      <c r="E138" s="132"/>
      <c r="F138" s="132"/>
      <c r="G138" s="132"/>
      <c r="H138" s="132"/>
      <c r="I138" s="132"/>
      <c r="J138" s="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6"/>
      <c r="AR138" s="6"/>
      <c r="AS138" s="6"/>
      <c r="AT138" s="6"/>
      <c r="AU138" s="6"/>
      <c r="AV138" s="6"/>
    </row>
    <row r="139" spans="1:48">
      <c r="A139" s="22"/>
      <c r="B139" s="22"/>
      <c r="C139" s="22"/>
      <c r="D139" s="22"/>
      <c r="E139" s="132"/>
      <c r="F139" s="132"/>
      <c r="G139" s="132"/>
      <c r="H139" s="132"/>
      <c r="I139" s="132"/>
      <c r="J139" s="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6"/>
      <c r="AR139" s="6"/>
      <c r="AS139" s="6"/>
      <c r="AT139" s="6"/>
      <c r="AU139" s="6"/>
      <c r="AV139" s="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rgb="FFFFC000"/>
  </sheetPr>
  <dimension ref="A1:AX269"/>
  <sheetViews>
    <sheetView topLeftCell="C37" zoomScale="80" zoomScaleNormal="80" workbookViewId="0">
      <selection activeCell="L57" sqref="L57"/>
    </sheetView>
  </sheetViews>
  <sheetFormatPr defaultColWidth="9.140625" defaultRowHeight="15"/>
  <cols>
    <col min="1" max="1" width="9.140625" style="96"/>
    <col min="2" max="2" width="32.5703125" style="96" customWidth="1"/>
    <col min="3" max="3" width="31.85546875" style="96" customWidth="1"/>
    <col min="4" max="4" width="12" style="96" customWidth="1"/>
    <col min="5" max="5" width="13.42578125" style="96" customWidth="1"/>
    <col min="6" max="10" width="9.140625" style="96"/>
    <col min="11" max="11" width="6.85546875" style="95" customWidth="1"/>
    <col min="12" max="12" width="6.85546875" style="96" customWidth="1"/>
    <col min="13" max="13" width="8.5703125" style="96" customWidth="1"/>
    <col min="14" max="16" width="16.140625" style="96" customWidth="1"/>
    <col min="17" max="21" width="11.85546875" style="96" customWidth="1"/>
    <col min="22" max="40" width="6.85546875" style="96" customWidth="1"/>
    <col min="41" max="41" width="9.42578125" style="96" customWidth="1"/>
    <col min="42" max="47" width="6.85546875" style="96" customWidth="1"/>
    <col min="48" max="48" width="9.85546875" style="96" customWidth="1"/>
    <col min="49" max="49" width="17.85546875" style="96" bestFit="1" customWidth="1"/>
    <col min="50" max="16384" width="9.140625" style="96"/>
  </cols>
  <sheetData>
    <row r="1" spans="1:48" s="4" customFormat="1">
      <c r="A1" s="4" t="str">
        <f>IF(COM,"TS DATA","")</f>
        <v>TS DATA</v>
      </c>
      <c r="B1" s="4" t="s">
        <v>17</v>
      </c>
      <c r="J1" s="41"/>
    </row>
    <row r="2" spans="1:48" s="4" customFormat="1" ht="15.75" thickBot="1">
      <c r="A2" s="4" t="s">
        <v>16</v>
      </c>
      <c r="B2" s="304" t="s">
        <v>296</v>
      </c>
      <c r="C2" s="304"/>
      <c r="J2" s="41"/>
    </row>
    <row r="3" spans="1:48">
      <c r="A3" s="4" t="s">
        <v>16</v>
      </c>
      <c r="J3" s="95">
        <f>MATCH(J4,Drivers!$C$5:$AG$5,0)</f>
        <v>1</v>
      </c>
      <c r="K3" s="95">
        <f>MATCH(K4,Drivers!$C$5:$AG$5,0)</f>
        <v>2</v>
      </c>
      <c r="L3" s="95">
        <f>MATCH(L4,Drivers!$C$5:$AG$5,0)</f>
        <v>3</v>
      </c>
      <c r="M3" s="95">
        <f>MATCH(M4,Drivers!$C$5:$AG$5,0)</f>
        <v>4</v>
      </c>
      <c r="N3" s="95">
        <f>MATCH(N4,Drivers!$C$5:$AG$5,0)</f>
        <v>5</v>
      </c>
      <c r="O3" s="95">
        <f>MATCH(O4,Drivers!$C$5:$AG$5,0)</f>
        <v>6</v>
      </c>
      <c r="P3" s="95">
        <f>MATCH(P4,Drivers!$C$5:$AG$5,0)</f>
        <v>7</v>
      </c>
      <c r="Q3" s="95">
        <f>MATCH(Q4,Drivers!$C$5:$AG$5,0)</f>
        <v>8</v>
      </c>
      <c r="R3" s="95">
        <f>MATCH(R4,Drivers!$C$5:$AG$5,0)</f>
        <v>9</v>
      </c>
      <c r="S3" s="95">
        <f>MATCH(S4,Drivers!$C$5:$AG$5,0)</f>
        <v>10</v>
      </c>
      <c r="T3" s="95">
        <f>MATCH(T4,Drivers!$C$5:$AG$5,0)</f>
        <v>11</v>
      </c>
      <c r="U3" s="95">
        <f>MATCH(U4,Drivers!$C$5:$AG$5,0)</f>
        <v>12</v>
      </c>
      <c r="V3" s="95">
        <f>MATCH(V4,Drivers!$C$5:$AG$5,0)</f>
        <v>13</v>
      </c>
      <c r="W3" s="95">
        <f>MATCH(W4,Drivers!$C$5:$AG$5,0)</f>
        <v>14</v>
      </c>
      <c r="X3" s="95">
        <f>MATCH(X4,Drivers!$C$5:$AG$5,0)</f>
        <v>15</v>
      </c>
      <c r="Y3" s="95">
        <f>MATCH(Y4,Drivers!$C$5:$AG$5,0)</f>
        <v>16</v>
      </c>
      <c r="Z3" s="95">
        <f>MATCH(Z4,Drivers!$C$5:$AG$5,0)</f>
        <v>17</v>
      </c>
      <c r="AA3" s="95">
        <f>MATCH(AA4,Drivers!$C$5:$AG$5,0)</f>
        <v>18</v>
      </c>
      <c r="AB3" s="95">
        <f>MATCH(AB4,Drivers!$C$5:$AG$5,0)</f>
        <v>19</v>
      </c>
      <c r="AC3" s="95">
        <f>MATCH(AC4,Drivers!$C$5:$AG$5,0)</f>
        <v>20</v>
      </c>
      <c r="AD3" s="95">
        <f>MATCH(AD4,Drivers!$C$5:$AG$5,0)</f>
        <v>21</v>
      </c>
      <c r="AE3" s="95">
        <f>MATCH(AE4,Drivers!$C$5:$AG$5,0)</f>
        <v>22</v>
      </c>
      <c r="AF3" s="95">
        <f>MATCH(AF4,Drivers!$C$5:$AG$5,0)</f>
        <v>23</v>
      </c>
      <c r="AG3" s="95">
        <f>MATCH(AG4,Drivers!$C$5:$AG$5,0)</f>
        <v>24</v>
      </c>
      <c r="AH3" s="95">
        <f>MATCH(AH4,Drivers!$C$5:$AG$5,0)</f>
        <v>25</v>
      </c>
      <c r="AI3" s="95">
        <f>MATCH(AI4,Drivers!$C$5:$AG$5,0)</f>
        <v>26</v>
      </c>
      <c r="AJ3" s="95">
        <f>MATCH(AJ4,Drivers!$C$5:$AG$5,0)</f>
        <v>27</v>
      </c>
      <c r="AK3" s="95">
        <f>MATCH(AK4,Drivers!$C$5:$AG$5,0)</f>
        <v>28</v>
      </c>
      <c r="AL3" s="95">
        <f>MATCH(AL4,Drivers!$C$5:$AG$5,0)</f>
        <v>29</v>
      </c>
      <c r="AM3" s="95" t="e">
        <f>MATCH(AM4,Drivers!$C$5:$AG$5,0)</f>
        <v>#N/A</v>
      </c>
      <c r="AN3" s="95" t="e">
        <f>MATCH(AN4,Drivers!$C$5:$AG$5,0)</f>
        <v>#N/A</v>
      </c>
      <c r="AO3" s="95" t="e">
        <f>MATCH(AO4,Drivers!$C$5:$AG$5,0)</f>
        <v>#N/A</v>
      </c>
      <c r="AP3" s="95" t="e">
        <f>MATCH(AP4,Drivers!$C$5:$AG$5,0)</f>
        <v>#N/A</v>
      </c>
      <c r="AQ3" s="95">
        <f>MATCH(AQ4,Drivers!$C$5:$AG$5,0)</f>
        <v>30</v>
      </c>
      <c r="AR3" s="95" t="e">
        <f>MATCH(AR4,Drivers!$C$5:$AG$5,0)</f>
        <v>#N/A</v>
      </c>
      <c r="AS3" s="95" t="e">
        <f>MATCH(AS4,Drivers!$C$5:$AG$5,0)</f>
        <v>#N/A</v>
      </c>
      <c r="AT3" s="95" t="e">
        <f>MATCH(AT4,Drivers!$C$5:$AG$5,0)</f>
        <v>#N/A</v>
      </c>
      <c r="AU3" s="95" t="e">
        <f>MATCH(AU4,Drivers!$C$5:$AG$5,0)</f>
        <v>#N/A</v>
      </c>
      <c r="AV3" s="95">
        <f>MATCH(AV4,Drivers!$C$5:$AG$5,0)</f>
        <v>31</v>
      </c>
    </row>
    <row r="4" spans="1:48" ht="15.75" thickBot="1">
      <c r="A4" s="4" t="s">
        <v>16</v>
      </c>
      <c r="B4" s="93" t="s">
        <v>11</v>
      </c>
      <c r="C4" s="93"/>
      <c r="D4" s="93"/>
      <c r="E4" s="94"/>
      <c r="F4" s="94"/>
      <c r="G4" s="94"/>
      <c r="H4" s="94"/>
      <c r="I4" s="94"/>
      <c r="J4" s="95">
        <v>2012</v>
      </c>
      <c r="K4" s="96">
        <f>J4+1</f>
        <v>2013</v>
      </c>
      <c r="L4" s="96">
        <f>K4+1</f>
        <v>2014</v>
      </c>
      <c r="M4" s="96">
        <f t="shared" ref="M4:AB4" si="0">L4+1</f>
        <v>2015</v>
      </c>
      <c r="N4" s="96">
        <f t="shared" si="0"/>
        <v>2016</v>
      </c>
      <c r="O4" s="96">
        <f t="shared" si="0"/>
        <v>2017</v>
      </c>
      <c r="P4" s="96">
        <f t="shared" si="0"/>
        <v>2018</v>
      </c>
      <c r="Q4" s="96">
        <f t="shared" si="0"/>
        <v>2019</v>
      </c>
      <c r="R4" s="96">
        <f t="shared" si="0"/>
        <v>2020</v>
      </c>
      <c r="S4" s="96">
        <f t="shared" si="0"/>
        <v>2021</v>
      </c>
      <c r="T4" s="96">
        <f t="shared" si="0"/>
        <v>2022</v>
      </c>
      <c r="U4" s="96">
        <f t="shared" si="0"/>
        <v>2023</v>
      </c>
      <c r="V4" s="96">
        <f t="shared" si="0"/>
        <v>2024</v>
      </c>
      <c r="W4" s="96">
        <f t="shared" si="0"/>
        <v>2025</v>
      </c>
      <c r="X4" s="96">
        <f t="shared" si="0"/>
        <v>2026</v>
      </c>
      <c r="Y4" s="96">
        <f t="shared" si="0"/>
        <v>2027</v>
      </c>
      <c r="Z4" s="96">
        <f t="shared" si="0"/>
        <v>2028</v>
      </c>
      <c r="AA4" s="96">
        <f t="shared" si="0"/>
        <v>2029</v>
      </c>
      <c r="AB4" s="96">
        <f t="shared" si="0"/>
        <v>2030</v>
      </c>
      <c r="AC4" s="96">
        <f t="shared" ref="AC4:AR4" si="1">AB4+1</f>
        <v>2031</v>
      </c>
      <c r="AD4" s="96">
        <f t="shared" si="1"/>
        <v>2032</v>
      </c>
      <c r="AE4" s="96">
        <f t="shared" si="1"/>
        <v>2033</v>
      </c>
      <c r="AF4" s="96">
        <f t="shared" si="1"/>
        <v>2034</v>
      </c>
      <c r="AG4" s="96">
        <f t="shared" si="1"/>
        <v>2035</v>
      </c>
      <c r="AH4" s="96">
        <f t="shared" si="1"/>
        <v>2036</v>
      </c>
      <c r="AI4" s="96">
        <f t="shared" si="1"/>
        <v>2037</v>
      </c>
      <c r="AJ4" s="96">
        <f t="shared" si="1"/>
        <v>2038</v>
      </c>
      <c r="AK4" s="96">
        <f t="shared" si="1"/>
        <v>2039</v>
      </c>
      <c r="AL4" s="96">
        <f t="shared" si="1"/>
        <v>2040</v>
      </c>
      <c r="AM4" s="96">
        <f t="shared" si="1"/>
        <v>2041</v>
      </c>
      <c r="AN4" s="96">
        <f t="shared" si="1"/>
        <v>2042</v>
      </c>
      <c r="AO4" s="96">
        <f t="shared" si="1"/>
        <v>2043</v>
      </c>
      <c r="AP4" s="96">
        <f t="shared" si="1"/>
        <v>2044</v>
      </c>
      <c r="AQ4" s="96">
        <f t="shared" si="1"/>
        <v>2045</v>
      </c>
      <c r="AR4" s="96">
        <f t="shared" si="1"/>
        <v>2046</v>
      </c>
      <c r="AS4" s="96">
        <f>AR4+1</f>
        <v>2047</v>
      </c>
      <c r="AT4" s="96">
        <f>AS4+1</f>
        <v>2048</v>
      </c>
      <c r="AU4" s="96">
        <f>AT4+1</f>
        <v>2049</v>
      </c>
      <c r="AV4" s="96">
        <f>AU4+1</f>
        <v>2050</v>
      </c>
    </row>
    <row r="5" spans="1:48" s="4" customFormat="1">
      <c r="A5" s="4" t="s">
        <v>16</v>
      </c>
      <c r="C5" s="15">
        <v>1</v>
      </c>
      <c r="D5" s="4">
        <v>2012</v>
      </c>
      <c r="E5" s="9">
        <v>2017</v>
      </c>
      <c r="F5" s="9">
        <v>2020</v>
      </c>
      <c r="G5" s="15">
        <v>2030</v>
      </c>
      <c r="H5" s="15">
        <v>2050</v>
      </c>
      <c r="I5" s="4" t="s">
        <v>393</v>
      </c>
      <c r="J5" s="4">
        <f>MATCH(J$4,$D$5:$H$5,$C5)</f>
        <v>1</v>
      </c>
      <c r="K5" s="225">
        <f t="shared" ref="K5:P5" si="2">MATCH(K$4,$D$5:$H$5,$C5)</f>
        <v>1</v>
      </c>
      <c r="L5" s="225">
        <f t="shared" si="2"/>
        <v>1</v>
      </c>
      <c r="M5" s="225">
        <f t="shared" si="2"/>
        <v>1</v>
      </c>
      <c r="N5" s="225">
        <f t="shared" si="2"/>
        <v>1</v>
      </c>
      <c r="O5" s="225">
        <f t="shared" si="2"/>
        <v>2</v>
      </c>
      <c r="P5" s="225">
        <f t="shared" si="2"/>
        <v>2</v>
      </c>
      <c r="Q5" s="4">
        <f t="shared" ref="K5:AV6" si="3">MATCH(Q$4,$D$5:$H$5,$C5)</f>
        <v>2</v>
      </c>
      <c r="R5" s="4">
        <f t="shared" si="3"/>
        <v>3</v>
      </c>
      <c r="S5" s="4">
        <f t="shared" si="3"/>
        <v>3</v>
      </c>
      <c r="T5" s="4">
        <f t="shared" si="3"/>
        <v>3</v>
      </c>
      <c r="U5" s="4">
        <f t="shared" si="3"/>
        <v>3</v>
      </c>
      <c r="V5" s="4">
        <f t="shared" si="3"/>
        <v>3</v>
      </c>
      <c r="W5" s="4">
        <f t="shared" si="3"/>
        <v>3</v>
      </c>
      <c r="X5" s="4">
        <f t="shared" si="3"/>
        <v>3</v>
      </c>
      <c r="Y5" s="4">
        <f t="shared" si="3"/>
        <v>3</v>
      </c>
      <c r="Z5" s="4">
        <f t="shared" si="3"/>
        <v>3</v>
      </c>
      <c r="AA5" s="4">
        <f t="shared" si="3"/>
        <v>3</v>
      </c>
      <c r="AB5" s="4">
        <f t="shared" si="3"/>
        <v>4</v>
      </c>
      <c r="AC5" s="4">
        <f t="shared" si="3"/>
        <v>4</v>
      </c>
      <c r="AD5" s="4">
        <f t="shared" si="3"/>
        <v>4</v>
      </c>
      <c r="AE5" s="4">
        <f t="shared" si="3"/>
        <v>4</v>
      </c>
      <c r="AF5" s="4">
        <f t="shared" si="3"/>
        <v>4</v>
      </c>
      <c r="AG5" s="4">
        <f t="shared" si="3"/>
        <v>4</v>
      </c>
      <c r="AH5" s="4">
        <f t="shared" si="3"/>
        <v>4</v>
      </c>
      <c r="AI5" s="4">
        <f t="shared" si="3"/>
        <v>4</v>
      </c>
      <c r="AJ5" s="4">
        <f t="shared" si="3"/>
        <v>4</v>
      </c>
      <c r="AK5" s="4">
        <f t="shared" si="3"/>
        <v>4</v>
      </c>
      <c r="AL5" s="4">
        <f t="shared" si="3"/>
        <v>4</v>
      </c>
      <c r="AM5" s="4">
        <f t="shared" si="3"/>
        <v>4</v>
      </c>
      <c r="AN5" s="4">
        <f t="shared" si="3"/>
        <v>4</v>
      </c>
      <c r="AO5" s="4">
        <f t="shared" si="3"/>
        <v>4</v>
      </c>
      <c r="AP5" s="4">
        <f t="shared" si="3"/>
        <v>4</v>
      </c>
      <c r="AQ5" s="4">
        <f t="shared" si="3"/>
        <v>4</v>
      </c>
      <c r="AR5" s="4">
        <f t="shared" si="3"/>
        <v>4</v>
      </c>
      <c r="AS5" s="4">
        <f t="shared" si="3"/>
        <v>4</v>
      </c>
      <c r="AT5" s="4">
        <f t="shared" si="3"/>
        <v>4</v>
      </c>
      <c r="AU5" s="4">
        <f t="shared" si="3"/>
        <v>4</v>
      </c>
      <c r="AV5" s="4">
        <f t="shared" si="3"/>
        <v>5</v>
      </c>
    </row>
    <row r="6" spans="1:48" s="4" customFormat="1">
      <c r="A6" s="4" t="s">
        <v>16</v>
      </c>
      <c r="C6" s="15">
        <v>0</v>
      </c>
      <c r="D6" s="4">
        <f>INDEX($D5:$H5,0,COUNT($D5:$H5)-D7)</f>
        <v>2050</v>
      </c>
      <c r="E6" s="4">
        <f>INDEX($D5:$H5,0,COUNT($D5:$H5)-E7)</f>
        <v>2030</v>
      </c>
      <c r="F6" s="4">
        <f>INDEX($D5:$H5,0,COUNT($D5:$H5)-F7)</f>
        <v>2020</v>
      </c>
      <c r="G6" s="4">
        <f>INDEX($D5:$H5,0,COUNT($D5:$H5)-G7)</f>
        <v>2017</v>
      </c>
      <c r="H6" s="4">
        <f>INDEX($D5:$H5,0,COUNT($D5:$H5)-H7)</f>
        <v>2012</v>
      </c>
      <c r="I6" s="4" t="s">
        <v>394</v>
      </c>
      <c r="J6" s="4">
        <f>MATCH(J$4,$D$5:$H$5,$C6)</f>
        <v>1</v>
      </c>
      <c r="K6" s="4" t="e">
        <f t="shared" si="3"/>
        <v>#N/A</v>
      </c>
      <c r="L6" s="4" t="e">
        <f t="shared" si="3"/>
        <v>#N/A</v>
      </c>
      <c r="M6" s="4" t="e">
        <f t="shared" si="3"/>
        <v>#N/A</v>
      </c>
      <c r="N6" s="4" t="e">
        <f t="shared" si="3"/>
        <v>#N/A</v>
      </c>
      <c r="O6" s="4">
        <f t="shared" si="3"/>
        <v>2</v>
      </c>
      <c r="P6" s="4" t="e">
        <f t="shared" si="3"/>
        <v>#N/A</v>
      </c>
      <c r="Q6" s="4" t="e">
        <f t="shared" si="3"/>
        <v>#N/A</v>
      </c>
      <c r="R6" s="4">
        <f t="shared" si="3"/>
        <v>3</v>
      </c>
      <c r="S6" s="4" t="e">
        <f t="shared" si="3"/>
        <v>#N/A</v>
      </c>
      <c r="T6" s="4" t="e">
        <f t="shared" si="3"/>
        <v>#N/A</v>
      </c>
      <c r="U6" s="4" t="e">
        <f t="shared" si="3"/>
        <v>#N/A</v>
      </c>
      <c r="V6" s="4" t="e">
        <f t="shared" si="3"/>
        <v>#N/A</v>
      </c>
      <c r="W6" s="4" t="e">
        <f t="shared" si="3"/>
        <v>#N/A</v>
      </c>
      <c r="X6" s="4" t="e">
        <f t="shared" si="3"/>
        <v>#N/A</v>
      </c>
      <c r="Y6" s="4" t="e">
        <f t="shared" si="3"/>
        <v>#N/A</v>
      </c>
      <c r="Z6" s="4" t="e">
        <f t="shared" si="3"/>
        <v>#N/A</v>
      </c>
      <c r="AA6" s="4" t="e">
        <f t="shared" si="3"/>
        <v>#N/A</v>
      </c>
      <c r="AB6" s="4">
        <f t="shared" si="3"/>
        <v>4</v>
      </c>
      <c r="AC6" s="4" t="e">
        <f t="shared" si="3"/>
        <v>#N/A</v>
      </c>
      <c r="AD6" s="4" t="e">
        <f t="shared" si="3"/>
        <v>#N/A</v>
      </c>
      <c r="AE6" s="4" t="e">
        <f t="shared" si="3"/>
        <v>#N/A</v>
      </c>
      <c r="AF6" s="4" t="e">
        <f t="shared" si="3"/>
        <v>#N/A</v>
      </c>
      <c r="AG6" s="4" t="e">
        <f t="shared" si="3"/>
        <v>#N/A</v>
      </c>
      <c r="AH6" s="4" t="e">
        <f t="shared" si="3"/>
        <v>#N/A</v>
      </c>
      <c r="AI6" s="4" t="e">
        <f t="shared" si="3"/>
        <v>#N/A</v>
      </c>
      <c r="AJ6" s="4" t="e">
        <f t="shared" si="3"/>
        <v>#N/A</v>
      </c>
      <c r="AK6" s="4" t="e">
        <f t="shared" si="3"/>
        <v>#N/A</v>
      </c>
      <c r="AL6" s="4" t="e">
        <f t="shared" si="3"/>
        <v>#N/A</v>
      </c>
      <c r="AM6" s="4" t="e">
        <f t="shared" si="3"/>
        <v>#N/A</v>
      </c>
      <c r="AN6" s="4" t="e">
        <f t="shared" si="3"/>
        <v>#N/A</v>
      </c>
      <c r="AO6" s="4" t="e">
        <f t="shared" si="3"/>
        <v>#N/A</v>
      </c>
      <c r="AP6" s="4" t="e">
        <f t="shared" si="3"/>
        <v>#N/A</v>
      </c>
      <c r="AQ6" s="4" t="e">
        <f t="shared" si="3"/>
        <v>#N/A</v>
      </c>
      <c r="AR6" s="4" t="e">
        <f t="shared" si="3"/>
        <v>#N/A</v>
      </c>
      <c r="AS6" s="4" t="e">
        <f t="shared" si="3"/>
        <v>#N/A</v>
      </c>
      <c r="AT6" s="4" t="e">
        <f t="shared" si="3"/>
        <v>#N/A</v>
      </c>
      <c r="AU6" s="4" t="e">
        <f t="shared" si="3"/>
        <v>#N/A</v>
      </c>
      <c r="AV6" s="4">
        <f t="shared" si="3"/>
        <v>5</v>
      </c>
    </row>
    <row r="7" spans="1:48" s="4" customFormat="1">
      <c r="A7" s="4" t="s">
        <v>16</v>
      </c>
      <c r="C7" s="15">
        <v>-1</v>
      </c>
      <c r="D7" s="4">
        <v>0</v>
      </c>
      <c r="E7" s="4">
        <v>1</v>
      </c>
      <c r="F7" s="4">
        <v>2</v>
      </c>
      <c r="G7" s="4">
        <v>3</v>
      </c>
      <c r="H7" s="4">
        <v>4</v>
      </c>
      <c r="I7" s="4" t="s">
        <v>392</v>
      </c>
      <c r="J7" s="4">
        <f>MATCH(J$4,$D$6:$H$6,$C7)</f>
        <v>5</v>
      </c>
      <c r="K7" s="4">
        <f t="shared" ref="K7:AV7" si="4">MATCH(K$4,$D$6:$H$6,$C7)</f>
        <v>4</v>
      </c>
      <c r="L7" s="4">
        <f t="shared" si="4"/>
        <v>4</v>
      </c>
      <c r="M7" s="4">
        <f t="shared" si="4"/>
        <v>4</v>
      </c>
      <c r="N7" s="4">
        <f t="shared" si="4"/>
        <v>4</v>
      </c>
      <c r="O7" s="4">
        <f t="shared" si="4"/>
        <v>4</v>
      </c>
      <c r="P7" s="4">
        <f t="shared" si="4"/>
        <v>3</v>
      </c>
      <c r="Q7" s="4">
        <f t="shared" si="4"/>
        <v>3</v>
      </c>
      <c r="R7" s="4">
        <f t="shared" si="4"/>
        <v>3</v>
      </c>
      <c r="S7" s="4">
        <f t="shared" si="4"/>
        <v>2</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1</v>
      </c>
      <c r="AD7" s="4">
        <f t="shared" si="4"/>
        <v>1</v>
      </c>
      <c r="AE7" s="4">
        <f t="shared" si="4"/>
        <v>1</v>
      </c>
      <c r="AF7" s="4">
        <f t="shared" si="4"/>
        <v>1</v>
      </c>
      <c r="AG7" s="4">
        <f t="shared" si="4"/>
        <v>1</v>
      </c>
      <c r="AH7" s="4">
        <f t="shared" si="4"/>
        <v>1</v>
      </c>
      <c r="AI7" s="4">
        <f t="shared" si="4"/>
        <v>1</v>
      </c>
      <c r="AJ7" s="4">
        <f t="shared" si="4"/>
        <v>1</v>
      </c>
      <c r="AK7" s="4">
        <f t="shared" si="4"/>
        <v>1</v>
      </c>
      <c r="AL7" s="4">
        <f t="shared" si="4"/>
        <v>1</v>
      </c>
      <c r="AM7" s="4">
        <f t="shared" si="4"/>
        <v>1</v>
      </c>
      <c r="AN7" s="4">
        <f t="shared" si="4"/>
        <v>1</v>
      </c>
      <c r="AO7" s="4">
        <f t="shared" si="4"/>
        <v>1</v>
      </c>
      <c r="AP7" s="4">
        <f t="shared" si="4"/>
        <v>1</v>
      </c>
      <c r="AQ7" s="4">
        <f t="shared" si="4"/>
        <v>1</v>
      </c>
      <c r="AR7" s="4">
        <f t="shared" si="4"/>
        <v>1</v>
      </c>
      <c r="AS7" s="4">
        <f t="shared" si="4"/>
        <v>1</v>
      </c>
      <c r="AT7" s="4">
        <f t="shared" si="4"/>
        <v>1</v>
      </c>
      <c r="AU7" s="4">
        <f t="shared" si="4"/>
        <v>1</v>
      </c>
      <c r="AV7" s="4">
        <f t="shared" si="4"/>
        <v>1</v>
      </c>
    </row>
    <row r="8" spans="1:48" s="4" customFormat="1">
      <c r="A8" s="4" t="s">
        <v>16</v>
      </c>
      <c r="I8" s="4" t="s">
        <v>395</v>
      </c>
      <c r="J8" s="5">
        <f>IF(ISNA(J5),-1,IF(ISNA(J7),99,IF(ISNA(J6),J5,0)))</f>
        <v>0</v>
      </c>
      <c r="K8" s="5">
        <f t="shared" ref="K8:AV8" si="5">IF(ISNA(K5),-1,IF(ISNA(K7),99,IF(ISNA(K6),K5,0)))</f>
        <v>1</v>
      </c>
      <c r="L8" s="5">
        <f t="shared" si="5"/>
        <v>1</v>
      </c>
      <c r="M8" s="5">
        <v>1</v>
      </c>
      <c r="N8" s="5">
        <v>1</v>
      </c>
      <c r="O8" s="5">
        <v>0</v>
      </c>
      <c r="P8" s="5">
        <f t="shared" si="5"/>
        <v>2</v>
      </c>
      <c r="Q8" s="5">
        <f t="shared" si="5"/>
        <v>2</v>
      </c>
      <c r="R8" s="5">
        <f t="shared" si="5"/>
        <v>0</v>
      </c>
      <c r="S8" s="5">
        <f t="shared" si="5"/>
        <v>3</v>
      </c>
      <c r="T8" s="5">
        <f t="shared" si="5"/>
        <v>3</v>
      </c>
      <c r="U8" s="5">
        <f t="shared" si="5"/>
        <v>3</v>
      </c>
      <c r="V8" s="5">
        <f t="shared" si="5"/>
        <v>3</v>
      </c>
      <c r="W8" s="5">
        <f t="shared" si="5"/>
        <v>3</v>
      </c>
      <c r="X8" s="5">
        <f t="shared" si="5"/>
        <v>3</v>
      </c>
      <c r="Y8" s="5">
        <f t="shared" si="5"/>
        <v>3</v>
      </c>
      <c r="Z8" s="5">
        <f t="shared" si="5"/>
        <v>3</v>
      </c>
      <c r="AA8" s="5">
        <f t="shared" si="5"/>
        <v>3</v>
      </c>
      <c r="AB8" s="5">
        <f t="shared" si="5"/>
        <v>0</v>
      </c>
      <c r="AC8" s="5">
        <f t="shared" si="5"/>
        <v>4</v>
      </c>
      <c r="AD8" s="5">
        <f t="shared" si="5"/>
        <v>4</v>
      </c>
      <c r="AE8" s="5">
        <f t="shared" si="5"/>
        <v>4</v>
      </c>
      <c r="AF8" s="5">
        <f t="shared" si="5"/>
        <v>4</v>
      </c>
      <c r="AG8" s="5">
        <f t="shared" si="5"/>
        <v>4</v>
      </c>
      <c r="AH8" s="5">
        <f t="shared" si="5"/>
        <v>4</v>
      </c>
      <c r="AI8" s="5">
        <f t="shared" si="5"/>
        <v>4</v>
      </c>
      <c r="AJ8" s="5">
        <f t="shared" si="5"/>
        <v>4</v>
      </c>
      <c r="AK8" s="5">
        <f t="shared" si="5"/>
        <v>4</v>
      </c>
      <c r="AL8" s="5">
        <f t="shared" si="5"/>
        <v>4</v>
      </c>
      <c r="AM8" s="5">
        <f t="shared" si="5"/>
        <v>4</v>
      </c>
      <c r="AN8" s="5">
        <f t="shared" si="5"/>
        <v>4</v>
      </c>
      <c r="AO8" s="5">
        <f t="shared" si="5"/>
        <v>4</v>
      </c>
      <c r="AP8" s="5">
        <f t="shared" si="5"/>
        <v>4</v>
      </c>
      <c r="AQ8" s="5">
        <f t="shared" si="5"/>
        <v>4</v>
      </c>
      <c r="AR8" s="5">
        <f t="shared" si="5"/>
        <v>4</v>
      </c>
      <c r="AS8" s="5">
        <f t="shared" si="5"/>
        <v>4</v>
      </c>
      <c r="AT8" s="5">
        <f t="shared" si="5"/>
        <v>4</v>
      </c>
      <c r="AU8" s="5">
        <f t="shared" si="5"/>
        <v>4</v>
      </c>
      <c r="AV8" s="5">
        <f t="shared" si="5"/>
        <v>0</v>
      </c>
    </row>
    <row r="9" spans="1:48">
      <c r="A9" s="4" t="s">
        <v>16</v>
      </c>
      <c r="B9" s="96" t="s">
        <v>9</v>
      </c>
      <c r="C9" s="96" t="s">
        <v>10</v>
      </c>
      <c r="J9" s="95"/>
      <c r="K9" s="96"/>
    </row>
    <row r="10" spans="1:48">
      <c r="A10" s="4" t="s">
        <v>16</v>
      </c>
      <c r="B10" s="174" t="s">
        <v>4</v>
      </c>
      <c r="C10" s="96" t="s">
        <v>3</v>
      </c>
      <c r="E10" s="96">
        <f>MATCH(B10,Drivers!A7:A22,0)</f>
        <v>2</v>
      </c>
      <c r="J10" s="6">
        <f>INDEX(Drivers!$C$7:$AG$22,$E$10,J3)</f>
        <v>1833.85</v>
      </c>
      <c r="K10" s="6">
        <f>INDEX(Drivers!$C$7:$AG$22,$E$10,K3)</f>
        <v>1884.55</v>
      </c>
      <c r="L10" s="6">
        <f>INDEX(Drivers!$C$7:$AG$22,$E$10,L3)</f>
        <v>1927.88</v>
      </c>
      <c r="M10" s="6">
        <f>INDEX(Drivers!$C$7:$AG$22,$E$10,M3)</f>
        <v>1957.41</v>
      </c>
      <c r="N10" s="6">
        <f>INDEX(Drivers!$C$7:$AG$22,$E$10,N3)</f>
        <v>1982.72</v>
      </c>
      <c r="O10" s="6">
        <f>INDEX(Drivers!$C$7:$AG$22,$E$10,O3)</f>
        <v>2007.4</v>
      </c>
      <c r="P10" s="6">
        <f>INDEX(Drivers!$C$7:$AG$22,$E$10,P3)</f>
        <v>2036.6</v>
      </c>
      <c r="Q10" s="6">
        <f>INDEX(Drivers!$C$7:$AG$22,$E$10,Q3)</f>
        <v>2071.14</v>
      </c>
      <c r="R10" s="6">
        <f>INDEX(Drivers!$C$7:$AG$22,$E$10,R3)</f>
        <v>1915.6</v>
      </c>
      <c r="S10" s="6">
        <f>INDEX(Drivers!$C$7:$AG$22,$E$10,S3)</f>
        <v>1960.19</v>
      </c>
      <c r="T10" s="6">
        <f>INDEX(Drivers!$C$7:$AG$22,$E$10,T3)</f>
        <v>2004.23</v>
      </c>
      <c r="U10" s="6">
        <f>INDEX(Drivers!$C$7:$AG$22,$E$10,U3)</f>
        <v>2048.11</v>
      </c>
      <c r="V10" s="6">
        <f>INDEX(Drivers!$C$7:$AG$22,$E$10,V3)</f>
        <v>2091.16</v>
      </c>
      <c r="W10" s="6">
        <f>INDEX(Drivers!$C$7:$AG$22,$E$10,W3)</f>
        <v>2135.91</v>
      </c>
      <c r="X10" s="6">
        <f>INDEX(Drivers!$C$7:$AG$22,$E$10,X3)</f>
        <v>2188.48</v>
      </c>
      <c r="Y10" s="6">
        <f>INDEX(Drivers!$C$7:$AG$22,$E$10,Y3)</f>
        <v>2240.58</v>
      </c>
      <c r="Z10" s="6">
        <f>INDEX(Drivers!$C$7:$AG$22,$E$10,Z3)</f>
        <v>2295.15</v>
      </c>
      <c r="AA10" s="6">
        <f>INDEX(Drivers!$C$7:$AG$22,$E$10,AA3)</f>
        <v>2351.59</v>
      </c>
      <c r="AB10" s="6">
        <f>INDEX(Drivers!$C$7:$AG$22,$E$10,AB3)</f>
        <v>2409.79</v>
      </c>
      <c r="AC10" s="6">
        <f>INDEX(Drivers!$C$7:$AG$22,$E$10,AC3)</f>
        <v>2477.56</v>
      </c>
      <c r="AD10" s="6">
        <f>INDEX(Drivers!$C$7:$AG$22,$E$10,AD3)</f>
        <v>2544.31</v>
      </c>
      <c r="AE10" s="6">
        <f>INDEX(Drivers!$C$7:$AG$22,$E$10,AE3)</f>
        <v>2617.34</v>
      </c>
      <c r="AF10" s="6">
        <f>INDEX(Drivers!$C$7:$AG$22,$E$10,AF3)</f>
        <v>2695.68</v>
      </c>
      <c r="AG10" s="6">
        <f>INDEX(Drivers!$C$7:$AG$22,$E$10,AG3)</f>
        <v>2779.08</v>
      </c>
      <c r="AH10" s="6">
        <f>INDEX(Drivers!$C$7:$AG$22,$E$10,AH3)</f>
        <v>2866.42</v>
      </c>
      <c r="AI10" s="6">
        <f>INDEX(Drivers!$C$7:$AG$22,$E$10,AI3)</f>
        <v>2957.38</v>
      </c>
      <c r="AJ10" s="6">
        <f>INDEX(Drivers!$C$7:$AG$22,$E$10,AJ3)</f>
        <v>3050.01</v>
      </c>
      <c r="AK10" s="6">
        <f>INDEX(Drivers!$C$7:$AG$22,$E$10,AK3)</f>
        <v>3146.53</v>
      </c>
      <c r="AL10" s="6">
        <f>INDEX(Drivers!$C$7:$AG$22,$E$10,AL3)</f>
        <v>3249.04</v>
      </c>
      <c r="AM10" s="6">
        <f>(AQ10-AL10)/5+AL10</f>
        <v>3365.5160000000001</v>
      </c>
      <c r="AN10" s="6">
        <f>(AQ10-AL10)/5+AM10</f>
        <v>3481.9920000000002</v>
      </c>
      <c r="AO10" s="6">
        <f>(AQ10-AL10)/5+AN10</f>
        <v>3598.4680000000003</v>
      </c>
      <c r="AP10" s="6">
        <f>(AQ10-AL10)/5+AO10</f>
        <v>3714.9440000000004</v>
      </c>
      <c r="AQ10" s="6">
        <f>INDEX(Drivers!$C$7:$AG$22,$E$10,AQ3)</f>
        <v>3831.42</v>
      </c>
      <c r="AR10" s="6">
        <f>(AV10-AQ10)/5+AQ10</f>
        <v>3977.1440000000002</v>
      </c>
      <c r="AS10" s="6">
        <f>(AV10-AQ10)/5+AR10</f>
        <v>4122.8680000000004</v>
      </c>
      <c r="AT10" s="6">
        <f>(AV10-AQ10)/5+AS10</f>
        <v>4268.5920000000006</v>
      </c>
      <c r="AU10" s="6">
        <f>(AV10-AQ10)/5+AT10</f>
        <v>4414.3160000000007</v>
      </c>
      <c r="AV10" s="6">
        <f>INDEX(Drivers!$C$7:$AG$22,$E$10,AV3)</f>
        <v>4560.04</v>
      </c>
    </row>
    <row r="11" spans="1:48">
      <c r="A11" s="4" t="s">
        <v>16</v>
      </c>
      <c r="B11" s="99" t="s">
        <v>227</v>
      </c>
      <c r="C11" s="100"/>
      <c r="D11" s="100"/>
      <c r="E11" s="100"/>
      <c r="F11" s="100"/>
      <c r="G11" s="100"/>
      <c r="H11" s="100"/>
      <c r="I11" s="100"/>
      <c r="J11" s="101" t="str">
        <f t="shared" ref="J11:AV11" si="6">INDEX($C$14:$C$18,MATCH(J$12,$B$14:$B$18,0))</f>
        <v>A</v>
      </c>
      <c r="K11" s="101" t="str">
        <f t="shared" si="6"/>
        <v>A</v>
      </c>
      <c r="L11" s="101" t="str">
        <f t="shared" si="6"/>
        <v>A</v>
      </c>
      <c r="M11" s="101" t="str">
        <f t="shared" si="6"/>
        <v>A</v>
      </c>
      <c r="N11" s="101" t="str">
        <f t="shared" si="6"/>
        <v>A</v>
      </c>
      <c r="O11" s="101" t="str">
        <f t="shared" si="6"/>
        <v>A</v>
      </c>
      <c r="P11" s="101" t="str">
        <f t="shared" si="6"/>
        <v>B</v>
      </c>
      <c r="Q11" s="101" t="str">
        <f t="shared" si="6"/>
        <v>B</v>
      </c>
      <c r="R11" s="101" t="str">
        <f t="shared" si="6"/>
        <v>B</v>
      </c>
      <c r="S11" s="101" t="str">
        <f t="shared" si="6"/>
        <v>B</v>
      </c>
      <c r="T11" s="101" t="str">
        <f t="shared" si="6"/>
        <v>B</v>
      </c>
      <c r="U11" s="101" t="str">
        <f t="shared" si="6"/>
        <v>B</v>
      </c>
      <c r="V11" s="101" t="str">
        <f t="shared" si="6"/>
        <v>B</v>
      </c>
      <c r="W11" s="101" t="str">
        <f t="shared" si="6"/>
        <v>B</v>
      </c>
      <c r="X11" s="101" t="str">
        <f t="shared" si="6"/>
        <v>B</v>
      </c>
      <c r="Y11" s="101" t="str">
        <f t="shared" si="6"/>
        <v>B</v>
      </c>
      <c r="Z11" s="101" t="str">
        <f t="shared" si="6"/>
        <v>B</v>
      </c>
      <c r="AA11" s="101" t="str">
        <f t="shared" si="6"/>
        <v>B</v>
      </c>
      <c r="AB11" s="101" t="str">
        <f t="shared" si="6"/>
        <v>B</v>
      </c>
      <c r="AC11" s="101" t="str">
        <f t="shared" si="6"/>
        <v>C</v>
      </c>
      <c r="AD11" s="101" t="str">
        <f t="shared" si="6"/>
        <v>C</v>
      </c>
      <c r="AE11" s="101" t="str">
        <f t="shared" si="6"/>
        <v>C</v>
      </c>
      <c r="AF11" s="101" t="str">
        <f t="shared" si="6"/>
        <v>C</v>
      </c>
      <c r="AG11" s="101" t="str">
        <f t="shared" si="6"/>
        <v>C</v>
      </c>
      <c r="AH11" s="101" t="str">
        <f t="shared" si="6"/>
        <v>C</v>
      </c>
      <c r="AI11" s="101" t="str">
        <f t="shared" si="6"/>
        <v>C</v>
      </c>
      <c r="AJ11" s="101" t="str">
        <f t="shared" si="6"/>
        <v>C</v>
      </c>
      <c r="AK11" s="101" t="str">
        <f t="shared" si="6"/>
        <v>C</v>
      </c>
      <c r="AL11" s="101" t="str">
        <f t="shared" si="6"/>
        <v>C</v>
      </c>
      <c r="AM11" s="101" t="str">
        <f t="shared" si="6"/>
        <v>D</v>
      </c>
      <c r="AN11" s="101" t="str">
        <f t="shared" si="6"/>
        <v>D</v>
      </c>
      <c r="AO11" s="101" t="str">
        <f t="shared" si="6"/>
        <v>D</v>
      </c>
      <c r="AP11" s="101" t="str">
        <f t="shared" si="6"/>
        <v>D</v>
      </c>
      <c r="AQ11" s="101" t="str">
        <f t="shared" si="6"/>
        <v>D</v>
      </c>
      <c r="AR11" s="101" t="str">
        <f t="shared" si="6"/>
        <v>D</v>
      </c>
      <c r="AS11" s="101" t="str">
        <f t="shared" si="6"/>
        <v>D</v>
      </c>
      <c r="AT11" s="101" t="str">
        <f t="shared" si="6"/>
        <v>D</v>
      </c>
      <c r="AU11" s="101" t="str">
        <f t="shared" si="6"/>
        <v>D</v>
      </c>
      <c r="AV11" s="101" t="str">
        <f t="shared" si="6"/>
        <v>D</v>
      </c>
    </row>
    <row r="12" spans="1:48">
      <c r="A12" s="4" t="s">
        <v>16</v>
      </c>
      <c r="B12" s="174"/>
      <c r="J12" s="95">
        <f t="array" ref="J12">SUM($B$14:$B$18*(J4&gt;=$D$14:$D$18)*(J4&lt;=$E$14:$E$18))</f>
        <v>1</v>
      </c>
      <c r="K12" s="95">
        <f t="array" ref="K12">SUM($B$14:$B$17*(K4&gt;=$D$14:$D$17)*(K4&lt;=$E$14:$E$17))</f>
        <v>1</v>
      </c>
      <c r="L12" s="95">
        <f t="array" ref="L12">SUM($B$14:$B$17*(L4&gt;=$D$14:$D$17)*(L4&lt;=$E$14:$E$17))</f>
        <v>1</v>
      </c>
      <c r="M12" s="95">
        <f t="array" ref="M12">SUM($B$14:$B$17*(M4&gt;=$D$14:$D$17)*(M4&lt;=$E$14:$E$17))</f>
        <v>1</v>
      </c>
      <c r="N12" s="95">
        <f t="array" ref="N12">SUM($B$14:$B$17*(N4&gt;=$D$14:$D$17)*(N4&lt;=$E$14:$E$17))</f>
        <v>1</v>
      </c>
      <c r="O12" s="95">
        <f t="array" ref="O12">SUM($B$14:$B$17*(O4&gt;=$D$14:$D$17)*(O4&lt;=$E$14:$E$17))</f>
        <v>1</v>
      </c>
      <c r="P12" s="95">
        <f t="array" ref="P12">SUM($B$14:$B$17*(P4&gt;=$D$14:$D$17)*(P4&lt;=$E$14:$E$17))</f>
        <v>2</v>
      </c>
      <c r="Q12" s="95">
        <f t="array" ref="Q12">SUM($B$14:$B$17*(Q4&gt;=$D$14:$D$17)*(Q4&lt;=$E$14:$E$17))</f>
        <v>2</v>
      </c>
      <c r="R12" s="95">
        <f t="array" ref="R12">SUM($B$14:$B$17*(R4&gt;=$D$14:$D$17)*(R4&lt;=$E$14:$E$17))</f>
        <v>2</v>
      </c>
      <c r="S12" s="95">
        <f t="array" ref="S12">SUM($B$14:$B$17*(S4&gt;=$D$14:$D$17)*(S4&lt;=$E$14:$E$17))</f>
        <v>2</v>
      </c>
      <c r="T12" s="95">
        <f t="array" ref="T12">SUM($B$14:$B$17*(T4&gt;=$D$14:$D$17)*(T4&lt;=$E$14:$E$17))</f>
        <v>2</v>
      </c>
      <c r="U12" s="95">
        <f t="array" ref="U12">SUM($B$14:$B$17*(U4&gt;=$D$14:$D$17)*(U4&lt;=$E$14:$E$17))</f>
        <v>2</v>
      </c>
      <c r="V12" s="95">
        <f t="array" ref="V12">SUM($B$14:$B$17*(V4&gt;=$D$14:$D$17)*(V4&lt;=$E$14:$E$17))</f>
        <v>2</v>
      </c>
      <c r="W12" s="95">
        <f t="array" ref="W12">SUM($B$14:$B$17*(W4&gt;=$D$14:$D$17)*(W4&lt;=$E$14:$E$17))</f>
        <v>2</v>
      </c>
      <c r="X12" s="95">
        <f t="array" ref="X12">SUM($B$14:$B$17*(X4&gt;=$D$14:$D$17)*(X4&lt;=$E$14:$E$17))</f>
        <v>2</v>
      </c>
      <c r="Y12" s="95">
        <f t="array" ref="Y12">SUM($B$14:$B$17*(Y4&gt;=$D$14:$D$17)*(Y4&lt;=$E$14:$E$17))</f>
        <v>2</v>
      </c>
      <c r="Z12" s="95">
        <f t="array" ref="Z12">SUM($B$14:$B$17*(Z4&gt;=$D$14:$D$17)*(Z4&lt;=$E$14:$E$17))</f>
        <v>2</v>
      </c>
      <c r="AA12" s="95">
        <f t="array" ref="AA12">SUM($B$14:$B$17*(AA4&gt;=$D$14:$D$17)*(AA4&lt;=$E$14:$E$17))</f>
        <v>2</v>
      </c>
      <c r="AB12" s="95">
        <f t="array" ref="AB12">SUM($B$14:$B$17*(AB4&gt;=$D$14:$D$17)*(AB4&lt;=$E$14:$E$17))</f>
        <v>2</v>
      </c>
      <c r="AC12" s="95">
        <f t="array" ref="AC12">SUM($B$14:$B$17*(AC4&gt;=$D$14:$D$17)*(AC4&lt;=$E$14:$E$17))</f>
        <v>3</v>
      </c>
      <c r="AD12" s="95">
        <f t="array" ref="AD12">SUM($B$14:$B$17*(AD4&gt;=$D$14:$D$17)*(AD4&lt;=$E$14:$E$17))</f>
        <v>3</v>
      </c>
      <c r="AE12" s="95">
        <f t="array" ref="AE12">SUM($B$14:$B$17*(AE4&gt;=$D$14:$D$17)*(AE4&lt;=$E$14:$E$17))</f>
        <v>3</v>
      </c>
      <c r="AF12" s="95">
        <f t="array" ref="AF12">SUM($B$14:$B$17*(AF4&gt;=$D$14:$D$17)*(AF4&lt;=$E$14:$E$17))</f>
        <v>3</v>
      </c>
      <c r="AG12" s="95">
        <f t="array" ref="AG12">SUM($B$14:$B$17*(AG4&gt;=$D$14:$D$17)*(AG4&lt;=$E$14:$E$17))</f>
        <v>3</v>
      </c>
      <c r="AH12" s="95">
        <f t="array" ref="AH12">SUM($B$14:$B$17*(AH4&gt;=$D$14:$D$17)*(AH4&lt;=$E$14:$E$17))</f>
        <v>3</v>
      </c>
      <c r="AI12" s="95">
        <f t="array" ref="AI12">SUM($B$14:$B$17*(AI4&gt;=$D$14:$D$17)*(AI4&lt;=$E$14:$E$17))</f>
        <v>3</v>
      </c>
      <c r="AJ12" s="95">
        <f t="array" ref="AJ12">SUM($B$14:$B$17*(AJ4&gt;=$D$14:$D$17)*(AJ4&lt;=$E$14:$E$17))</f>
        <v>3</v>
      </c>
      <c r="AK12" s="95">
        <f t="array" ref="AK12">SUM($B$14:$B$17*(AK4&gt;=$D$14:$D$17)*(AK4&lt;=$E$14:$E$17))</f>
        <v>3</v>
      </c>
      <c r="AL12" s="95">
        <f t="array" ref="AL12">SUM($B$14:$B$17*(AL4&gt;=$D$14:$D$17)*(AL4&lt;=$E$14:$E$17))</f>
        <v>3</v>
      </c>
      <c r="AM12" s="95">
        <f t="array" ref="AM12">SUM($B$14:$B$17*(AM4&gt;=$D$14:$D$17)*(AM4&lt;=$E$14:$E$17))</f>
        <v>4</v>
      </c>
      <c r="AN12" s="95">
        <f t="array" ref="AN12">SUM($B$14:$B$17*(AN4&gt;=$D$14:$D$17)*(AN4&lt;=$E$14:$E$17))</f>
        <v>4</v>
      </c>
      <c r="AO12" s="95">
        <f t="array" ref="AO12">SUM($B$14:$B$17*(AO4&gt;=$D$14:$D$17)*(AO4&lt;=$E$14:$E$17))</f>
        <v>4</v>
      </c>
      <c r="AP12" s="95">
        <f t="array" ref="AP12">SUM($B$14:$B$17*(AP4&gt;=$D$14:$D$17)*(AP4&lt;=$E$14:$E$17))</f>
        <v>4</v>
      </c>
      <c r="AQ12" s="95">
        <f t="array" ref="AQ12">SUM($B$14:$B$17*(AQ4&gt;=$D$14:$D$17)*(AQ4&lt;=$E$14:$E$17))</f>
        <v>4</v>
      </c>
      <c r="AR12" s="95">
        <f t="array" ref="AR12">SUM($B$14:$B$17*(AR4&gt;=$D$14:$D$17)*(AR4&lt;=$E$14:$E$17))</f>
        <v>4</v>
      </c>
      <c r="AS12" s="95">
        <f t="array" ref="AS12">SUM($B$14:$B$17*(AS4&gt;=$D$14:$D$17)*(AS4&lt;=$E$14:$E$17))</f>
        <v>4</v>
      </c>
      <c r="AT12" s="95">
        <f t="array" ref="AT12">SUM($B$14:$B$17*(AT4&gt;=$D$14:$D$17)*(AT4&lt;=$E$14:$E$17))</f>
        <v>4</v>
      </c>
      <c r="AU12" s="95">
        <f t="array" ref="AU12">SUM($B$14:$B$17*(AU4&gt;=$D$14:$D$17)*(AU4&lt;=$E$14:$E$17))</f>
        <v>4</v>
      </c>
      <c r="AV12" s="95">
        <f t="array" ref="AV12">SUM($B$14:$B$17*(AV4&gt;=$D$14:$D$17)*(AV4&lt;=$E$14:$E$17))</f>
        <v>4</v>
      </c>
    </row>
    <row r="13" spans="1:48">
      <c r="A13" s="4" t="s">
        <v>16</v>
      </c>
      <c r="B13" s="305" t="s">
        <v>228</v>
      </c>
      <c r="C13" s="306"/>
      <c r="D13" s="102" t="s">
        <v>229</v>
      </c>
      <c r="E13" s="102" t="s">
        <v>230</v>
      </c>
      <c r="J13" s="95"/>
      <c r="K13" s="96"/>
    </row>
    <row r="14" spans="1:48">
      <c r="A14" s="4" t="s">
        <v>16</v>
      </c>
      <c r="B14" s="174">
        <v>1</v>
      </c>
      <c r="C14" s="102" t="s">
        <v>109</v>
      </c>
      <c r="D14" s="103">
        <v>2012</v>
      </c>
      <c r="E14" s="103">
        <f>D14+5</f>
        <v>2017</v>
      </c>
      <c r="J14" s="95"/>
      <c r="K14" s="96"/>
      <c r="P14" s="96">
        <f>P10/O10</f>
        <v>1.0145461791371924</v>
      </c>
      <c r="Q14" s="96">
        <f t="shared" ref="Q14:T14" si="7">Q10/P10</f>
        <v>1.0169596386133752</v>
      </c>
      <c r="R14" s="96">
        <f t="shared" si="7"/>
        <v>0.92490126210685908</v>
      </c>
      <c r="S14" s="96">
        <f t="shared" si="7"/>
        <v>1.0232773021507622</v>
      </c>
      <c r="T14" s="96">
        <f t="shared" si="7"/>
        <v>1.0224672098112937</v>
      </c>
    </row>
    <row r="15" spans="1:48">
      <c r="A15" s="4" t="s">
        <v>16</v>
      </c>
      <c r="B15" s="174">
        <v>2</v>
      </c>
      <c r="C15" s="102" t="s">
        <v>231</v>
      </c>
      <c r="D15" s="103">
        <f>E14+1</f>
        <v>2018</v>
      </c>
      <c r="E15" s="103">
        <v>2030</v>
      </c>
      <c r="J15" s="95"/>
      <c r="K15" s="96"/>
    </row>
    <row r="16" spans="1:48">
      <c r="A16" s="4" t="s">
        <v>16</v>
      </c>
      <c r="B16" s="174">
        <v>3</v>
      </c>
      <c r="C16" s="102" t="s">
        <v>112</v>
      </c>
      <c r="D16" s="103">
        <v>2031</v>
      </c>
      <c r="E16" s="103">
        <v>2040</v>
      </c>
      <c r="J16" s="95"/>
      <c r="K16" s="96"/>
    </row>
    <row r="17" spans="1:48">
      <c r="A17" s="4" t="s">
        <v>16</v>
      </c>
      <c r="B17" s="174">
        <v>4</v>
      </c>
      <c r="C17" s="102" t="s">
        <v>232</v>
      </c>
      <c r="D17" s="103">
        <v>2041</v>
      </c>
      <c r="E17" s="103">
        <v>2070</v>
      </c>
      <c r="J17" s="95"/>
      <c r="K17" s="96"/>
    </row>
    <row r="18" spans="1:48">
      <c r="A18" s="4" t="s">
        <v>16</v>
      </c>
      <c r="B18" s="174"/>
      <c r="C18" s="102"/>
      <c r="J18" s="95"/>
      <c r="K18" s="96"/>
    </row>
    <row r="19" spans="1:48" ht="15.75" thickBot="1">
      <c r="A19" s="4" t="s">
        <v>16</v>
      </c>
      <c r="B19" s="93" t="s">
        <v>532</v>
      </c>
      <c r="C19" s="93" t="s">
        <v>233</v>
      </c>
      <c r="D19" s="93"/>
      <c r="E19" s="94"/>
      <c r="F19" s="94"/>
      <c r="G19" s="94"/>
      <c r="H19" s="94"/>
      <c r="I19" s="94"/>
      <c r="J19" s="95"/>
      <c r="K19" s="96"/>
    </row>
    <row r="20" spans="1:48">
      <c r="A20" s="4" t="s">
        <v>16</v>
      </c>
      <c r="B20" s="98">
        <f>'[7]SA GDP'!$I$30</f>
        <v>0.44318133021912642</v>
      </c>
      <c r="C20" s="104">
        <v>0.01</v>
      </c>
      <c r="J20" s="95"/>
      <c r="K20" s="96"/>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row>
    <row r="21" spans="1:48">
      <c r="A21" s="4" t="s">
        <v>16</v>
      </c>
      <c r="B21" s="174"/>
      <c r="J21" s="106"/>
      <c r="K21" s="107"/>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row>
    <row r="22" spans="1:48" ht="19.5" thickBot="1">
      <c r="A22" s="4" t="s">
        <v>16</v>
      </c>
      <c r="B22" s="201" t="s">
        <v>70</v>
      </c>
      <c r="C22" s="93"/>
      <c r="D22" s="93"/>
      <c r="E22" s="108">
        <v>2006</v>
      </c>
      <c r="F22" s="108">
        <v>2010</v>
      </c>
      <c r="G22" s="108">
        <v>2020</v>
      </c>
      <c r="H22" s="109">
        <v>2030</v>
      </c>
      <c r="I22" s="109">
        <v>2050</v>
      </c>
      <c r="J22" s="95">
        <f t="shared" ref="J22:AV22" si="8">J4</f>
        <v>2012</v>
      </c>
      <c r="K22" s="96">
        <f t="shared" si="8"/>
        <v>2013</v>
      </c>
      <c r="L22" s="96">
        <f t="shared" si="8"/>
        <v>2014</v>
      </c>
      <c r="M22" s="96">
        <f t="shared" si="8"/>
        <v>2015</v>
      </c>
      <c r="N22" s="96">
        <f t="shared" si="8"/>
        <v>2016</v>
      </c>
      <c r="O22" s="96">
        <f t="shared" si="8"/>
        <v>2017</v>
      </c>
      <c r="P22" s="96">
        <f t="shared" si="8"/>
        <v>2018</v>
      </c>
      <c r="Q22" s="96">
        <f t="shared" si="8"/>
        <v>2019</v>
      </c>
      <c r="R22" s="96">
        <f t="shared" si="8"/>
        <v>2020</v>
      </c>
      <c r="S22" s="96">
        <f t="shared" si="8"/>
        <v>2021</v>
      </c>
      <c r="T22" s="96">
        <f t="shared" si="8"/>
        <v>2022</v>
      </c>
      <c r="U22" s="96">
        <f t="shared" si="8"/>
        <v>2023</v>
      </c>
      <c r="V22" s="96">
        <f t="shared" si="8"/>
        <v>2024</v>
      </c>
      <c r="W22" s="96">
        <f t="shared" si="8"/>
        <v>2025</v>
      </c>
      <c r="X22" s="96">
        <f t="shared" si="8"/>
        <v>2026</v>
      </c>
      <c r="Y22" s="96">
        <f t="shared" si="8"/>
        <v>2027</v>
      </c>
      <c r="Z22" s="96">
        <f t="shared" si="8"/>
        <v>2028</v>
      </c>
      <c r="AA22" s="96">
        <f t="shared" si="8"/>
        <v>2029</v>
      </c>
      <c r="AB22" s="96">
        <f t="shared" si="8"/>
        <v>2030</v>
      </c>
      <c r="AC22" s="96">
        <f t="shared" si="8"/>
        <v>2031</v>
      </c>
      <c r="AD22" s="96">
        <f t="shared" si="8"/>
        <v>2032</v>
      </c>
      <c r="AE22" s="96">
        <f t="shared" si="8"/>
        <v>2033</v>
      </c>
      <c r="AF22" s="96">
        <f t="shared" si="8"/>
        <v>2034</v>
      </c>
      <c r="AG22" s="96">
        <f t="shared" si="8"/>
        <v>2035</v>
      </c>
      <c r="AH22" s="96">
        <f t="shared" si="8"/>
        <v>2036</v>
      </c>
      <c r="AI22" s="96">
        <f t="shared" si="8"/>
        <v>2037</v>
      </c>
      <c r="AJ22" s="96">
        <f t="shared" si="8"/>
        <v>2038</v>
      </c>
      <c r="AK22" s="96">
        <f t="shared" si="8"/>
        <v>2039</v>
      </c>
      <c r="AL22" s="96">
        <f t="shared" si="8"/>
        <v>2040</v>
      </c>
      <c r="AM22" s="96">
        <f t="shared" si="8"/>
        <v>2041</v>
      </c>
      <c r="AN22" s="96">
        <f t="shared" si="8"/>
        <v>2042</v>
      </c>
      <c r="AO22" s="96">
        <f t="shared" si="8"/>
        <v>2043</v>
      </c>
      <c r="AP22" s="96">
        <f t="shared" si="8"/>
        <v>2044</v>
      </c>
      <c r="AQ22" s="96">
        <f t="shared" si="8"/>
        <v>2045</v>
      </c>
      <c r="AR22" s="96">
        <f t="shared" si="8"/>
        <v>2046</v>
      </c>
      <c r="AS22" s="96">
        <f t="shared" si="8"/>
        <v>2047</v>
      </c>
      <c r="AT22" s="96">
        <f t="shared" si="8"/>
        <v>2048</v>
      </c>
      <c r="AU22" s="96">
        <f t="shared" si="8"/>
        <v>2049</v>
      </c>
      <c r="AV22" s="96">
        <f t="shared" si="8"/>
        <v>2050</v>
      </c>
    </row>
    <row r="23" spans="1:48">
      <c r="A23" s="4" t="s">
        <v>16</v>
      </c>
      <c r="B23" s="174" t="str">
        <f>B10</f>
        <v>COM</v>
      </c>
      <c r="C23" s="96" t="str">
        <f>C10</f>
        <v>Commercial</v>
      </c>
      <c r="D23" s="96" t="s">
        <v>71</v>
      </c>
      <c r="J23" s="261">
        <f>[7]Forecast!I$8</f>
        <v>132.81548999999998</v>
      </c>
      <c r="K23" s="261">
        <f>[7]Forecast!J$8</f>
        <v>134.00787499999998</v>
      </c>
      <c r="L23" s="261">
        <f>[7]Forecast!K$8</f>
        <v>135.598851</v>
      </c>
      <c r="M23" s="261">
        <f>[7]Forecast!L$8</f>
        <v>136.99421599999999</v>
      </c>
      <c r="N23" s="261">
        <f>[7]Forecast!M$8</f>
        <v>138.328236</v>
      </c>
      <c r="O23" s="262">
        <f>IF(O10/N10&lt;1,N23,(1+$B$20*(O10/N10-1))*N23)</f>
        <v>139.0913265289752</v>
      </c>
      <c r="P23" s="262">
        <f t="shared" ref="P23:AO23" si="9">IF(P10/O10&lt;1,O23,(1+$B$20*(P10/O10-1))*O23)</f>
        <v>139.98799198185014</v>
      </c>
      <c r="Q23" s="262">
        <f t="shared" si="9"/>
        <v>141.04016905534132</v>
      </c>
      <c r="R23" s="262">
        <f t="shared" si="9"/>
        <v>141.04016905534132</v>
      </c>
      <c r="S23" s="262">
        <f t="shared" si="9"/>
        <v>142.49514871003987</v>
      </c>
      <c r="T23" s="262">
        <f t="shared" si="9"/>
        <v>143.9139797356068</v>
      </c>
      <c r="U23" s="262">
        <f t="shared" si="9"/>
        <v>145.31035935086177</v>
      </c>
      <c r="V23" s="262">
        <f t="shared" si="9"/>
        <v>146.66398293115881</v>
      </c>
      <c r="W23" s="262">
        <f t="shared" si="9"/>
        <v>148.05493033476128</v>
      </c>
      <c r="X23" s="262">
        <f t="shared" si="9"/>
        <v>149.66988136905539</v>
      </c>
      <c r="Y23" s="262">
        <f t="shared" si="9"/>
        <v>151.24898638253208</v>
      </c>
      <c r="Z23" s="262">
        <f t="shared" si="9"/>
        <v>152.8815399049507</v>
      </c>
      <c r="AA23" s="262">
        <f t="shared" si="9"/>
        <v>154.54768353122117</v>
      </c>
      <c r="AB23" s="262">
        <f t="shared" si="9"/>
        <v>156.24282261236783</v>
      </c>
      <c r="AC23" s="262">
        <f t="shared" si="9"/>
        <v>158.19015380554288</v>
      </c>
      <c r="AD23" s="262">
        <f t="shared" si="9"/>
        <v>160.07896259173032</v>
      </c>
      <c r="AE23" s="262">
        <f t="shared" si="9"/>
        <v>162.11528712517043</v>
      </c>
      <c r="AF23" s="262">
        <f t="shared" si="9"/>
        <v>164.26573465964745</v>
      </c>
      <c r="AG23" s="262">
        <f t="shared" si="9"/>
        <v>166.51803421552086</v>
      </c>
      <c r="AH23" s="262">
        <f t="shared" si="9"/>
        <v>168.83732322937493</v>
      </c>
      <c r="AI23" s="262">
        <f t="shared" si="9"/>
        <v>171.21175962825166</v>
      </c>
      <c r="AJ23" s="262">
        <f t="shared" si="9"/>
        <v>173.58837871134585</v>
      </c>
      <c r="AK23" s="262">
        <f t="shared" si="9"/>
        <v>176.02292565752037</v>
      </c>
      <c r="AL23" s="262">
        <f t="shared" si="9"/>
        <v>178.56439601400658</v>
      </c>
      <c r="AM23" s="262">
        <f t="shared" si="9"/>
        <v>181.40138542932024</v>
      </c>
      <c r="AN23" s="262">
        <f t="shared" si="9"/>
        <v>184.18370393598022</v>
      </c>
      <c r="AO23" s="262">
        <f t="shared" si="9"/>
        <v>186.91419863582661</v>
      </c>
      <c r="AP23" s="110">
        <f t="shared" ref="AP23:AU23" si="10">(1+$B$20*(AP10/AO10-1))*AO23</f>
        <v>189.5954810055008</v>
      </c>
      <c r="AQ23" s="110">
        <f t="shared" si="10"/>
        <v>192.22995317295272</v>
      </c>
      <c r="AR23" s="110">
        <f t="shared" si="10"/>
        <v>195.47016825127298</v>
      </c>
      <c r="AS23" s="110">
        <f t="shared" si="10"/>
        <v>198.64427633777265</v>
      </c>
      <c r="AT23" s="110">
        <f t="shared" si="10"/>
        <v>201.75591505036303</v>
      </c>
      <c r="AU23" s="110">
        <f t="shared" si="10"/>
        <v>204.80840449254097</v>
      </c>
      <c r="AV23" s="110">
        <f t="shared" ref="AV23" si="11">(1+$B$20*(AT10/AS10-1))*AU23</f>
        <v>208.01660042867366</v>
      </c>
    </row>
    <row r="24" spans="1:48">
      <c r="A24" s="4" t="s">
        <v>16</v>
      </c>
      <c r="B24" s="174" t="str">
        <f>B23 &amp; "-" &amp; "indexed"</f>
        <v>COM-indexed</v>
      </c>
      <c r="C24" s="96" t="str">
        <f>C23 &amp;"-" &amp; "indexed"</f>
        <v>Commercial-indexed</v>
      </c>
      <c r="I24" s="179"/>
      <c r="J24" s="98">
        <f>K24*(1+((J23-K23)/K23))</f>
        <v>0.9548797420688353</v>
      </c>
      <c r="K24" s="98">
        <f>L24*(1+((K23-L23)/L23))</f>
        <v>0.96345241895499323</v>
      </c>
      <c r="L24" s="98">
        <f>M24*(1+((L23-M23)/M23))</f>
        <v>0.97489077416881442</v>
      </c>
      <c r="M24" s="98">
        <f>N24*(1+((M23-N23)/N23))</f>
        <v>0.98492278000858424</v>
      </c>
      <c r="N24" s="98">
        <f>O24*(1+((N23-O23)/O23))</f>
        <v>0.99451374468834164</v>
      </c>
      <c r="O24" s="98">
        <v>1</v>
      </c>
      <c r="P24" s="98">
        <f t="shared" ref="P24:AV24" si="12">O24*(1+((P23-O23)/O23))</f>
        <v>1.0064465950196266</v>
      </c>
      <c r="Q24" s="98">
        <f t="shared" si="12"/>
        <v>1.0140112440868854</v>
      </c>
      <c r="R24" s="98">
        <f t="shared" si="12"/>
        <v>1.0140112440868854</v>
      </c>
      <c r="S24" s="98">
        <f t="shared" si="12"/>
        <v>1.0244718507329471</v>
      </c>
      <c r="T24" s="98">
        <f t="shared" si="12"/>
        <v>1.0346725660541241</v>
      </c>
      <c r="U24" s="98">
        <f t="shared" si="12"/>
        <v>1.0447118664914814</v>
      </c>
      <c r="V24" s="98">
        <f t="shared" si="12"/>
        <v>1.0544437715216275</v>
      </c>
      <c r="W24" s="98">
        <f t="shared" si="12"/>
        <v>1.0644440169597404</v>
      </c>
      <c r="X24" s="98">
        <f t="shared" si="12"/>
        <v>1.0760547411838544</v>
      </c>
      <c r="Y24" s="98">
        <f t="shared" si="12"/>
        <v>1.0874077496918848</v>
      </c>
      <c r="Z24" s="98">
        <f t="shared" si="12"/>
        <v>1.0991450273723771</v>
      </c>
      <c r="AA24" s="98">
        <f t="shared" si="12"/>
        <v>1.1111238018067655</v>
      </c>
      <c r="AB24" s="98">
        <f t="shared" si="12"/>
        <v>1.1233110396701813</v>
      </c>
      <c r="AC24" s="98">
        <f t="shared" si="12"/>
        <v>1.1373114179954926</v>
      </c>
      <c r="AD24" s="98">
        <f t="shared" si="12"/>
        <v>1.1508910482522647</v>
      </c>
      <c r="AE24" s="98">
        <f t="shared" si="12"/>
        <v>1.1655312460579554</v>
      </c>
      <c r="AF24" s="98">
        <f t="shared" si="12"/>
        <v>1.1809919335655195</v>
      </c>
      <c r="AG24" s="98">
        <f t="shared" si="12"/>
        <v>1.1971848883102871</v>
      </c>
      <c r="AH24" s="98">
        <f t="shared" si="12"/>
        <v>1.2138594651637253</v>
      </c>
      <c r="AI24" s="98">
        <f t="shared" si="12"/>
        <v>1.2309305252947256</v>
      </c>
      <c r="AJ24" s="98">
        <f t="shared" si="12"/>
        <v>1.2480172778795398</v>
      </c>
      <c r="AK24" s="98">
        <f t="shared" si="12"/>
        <v>1.2655205040470419</v>
      </c>
      <c r="AL24" s="98">
        <f t="shared" si="12"/>
        <v>1.2837924583083793</v>
      </c>
      <c r="AM24" s="98">
        <f t="shared" si="12"/>
        <v>1.3041890530214413</v>
      </c>
      <c r="AN24" s="98">
        <f t="shared" si="12"/>
        <v>1.3241925900937574</v>
      </c>
      <c r="AO24" s="98">
        <f t="shared" si="12"/>
        <v>1.3438235388235302</v>
      </c>
      <c r="AP24" s="98">
        <f t="shared" si="12"/>
        <v>1.3631006744766698</v>
      </c>
      <c r="AQ24" s="98">
        <f t="shared" si="12"/>
        <v>1.3820412672022924</v>
      </c>
      <c r="AR24" s="98">
        <f t="shared" si="12"/>
        <v>1.4053368612495982</v>
      </c>
      <c r="AS24" s="98">
        <f t="shared" si="12"/>
        <v>1.4281571776971407</v>
      </c>
      <c r="AT24" s="98">
        <f t="shared" si="12"/>
        <v>1.4505283692749431</v>
      </c>
      <c r="AU24" s="98">
        <f t="shared" si="12"/>
        <v>1.4724743059365082</v>
      </c>
      <c r="AV24" s="98">
        <f t="shared" si="12"/>
        <v>1.4955396976916466</v>
      </c>
    </row>
    <row r="25" spans="1:48">
      <c r="A25" s="4" t="s">
        <v>16</v>
      </c>
      <c r="B25" s="174" t="str">
        <f>B10 &amp; "-" &amp; "EXISTING"</f>
        <v>COM-EXISTING</v>
      </c>
      <c r="C25" s="96" t="str">
        <f>C10 &amp; "-" &amp; "existing"</f>
        <v>Commercial-existing</v>
      </c>
      <c r="D25" s="96" t="s">
        <v>53</v>
      </c>
      <c r="E25" s="111">
        <v>1</v>
      </c>
      <c r="I25" s="179"/>
      <c r="J25" s="260">
        <f>E25</f>
        <v>1</v>
      </c>
      <c r="K25" s="260">
        <v>1</v>
      </c>
      <c r="L25" s="260">
        <v>1</v>
      </c>
      <c r="M25" s="260">
        <v>1</v>
      </c>
      <c r="N25" s="260">
        <v>1</v>
      </c>
      <c r="O25" s="260">
        <f>E25</f>
        <v>1</v>
      </c>
      <c r="P25" s="98">
        <f t="shared" ref="P25:AV25" si="13">IF(O25-$C$20*(P22-O22)&lt;0,0,O25-$C$20*(P22-O22))</f>
        <v>0.99</v>
      </c>
      <c r="Q25" s="98">
        <f t="shared" si="13"/>
        <v>0.98</v>
      </c>
      <c r="R25" s="98">
        <f t="shared" si="13"/>
        <v>0.97</v>
      </c>
      <c r="S25" s="98">
        <f t="shared" si="13"/>
        <v>0.96</v>
      </c>
      <c r="T25" s="98">
        <f t="shared" si="13"/>
        <v>0.95</v>
      </c>
      <c r="U25" s="98">
        <f t="shared" si="13"/>
        <v>0.94</v>
      </c>
      <c r="V25" s="98">
        <f t="shared" si="13"/>
        <v>0.92999999999999994</v>
      </c>
      <c r="W25" s="98">
        <f t="shared" si="13"/>
        <v>0.91999999999999993</v>
      </c>
      <c r="X25" s="98">
        <f t="shared" si="13"/>
        <v>0.90999999999999992</v>
      </c>
      <c r="Y25" s="98">
        <f t="shared" si="13"/>
        <v>0.89999999999999991</v>
      </c>
      <c r="Z25" s="98">
        <f t="shared" si="13"/>
        <v>0.8899999999999999</v>
      </c>
      <c r="AA25" s="98">
        <f t="shared" si="13"/>
        <v>0.87999999999999989</v>
      </c>
      <c r="AB25" s="98">
        <f t="shared" si="13"/>
        <v>0.86999999999999988</v>
      </c>
      <c r="AC25" s="98">
        <f t="shared" si="13"/>
        <v>0.85999999999999988</v>
      </c>
      <c r="AD25" s="98">
        <f t="shared" si="13"/>
        <v>0.84999999999999987</v>
      </c>
      <c r="AE25" s="98">
        <f t="shared" si="13"/>
        <v>0.83999999999999986</v>
      </c>
      <c r="AF25" s="98">
        <f t="shared" si="13"/>
        <v>0.82999999999999985</v>
      </c>
      <c r="AG25" s="98">
        <f t="shared" si="13"/>
        <v>0.81999999999999984</v>
      </c>
      <c r="AH25" s="98">
        <f t="shared" si="13"/>
        <v>0.80999999999999983</v>
      </c>
      <c r="AI25" s="98">
        <f t="shared" si="13"/>
        <v>0.79999999999999982</v>
      </c>
      <c r="AJ25" s="98">
        <f t="shared" si="13"/>
        <v>0.78999999999999981</v>
      </c>
      <c r="AK25" s="98">
        <f t="shared" si="13"/>
        <v>0.7799999999999998</v>
      </c>
      <c r="AL25" s="98">
        <f t="shared" si="13"/>
        <v>0.7699999999999998</v>
      </c>
      <c r="AM25" s="98">
        <f t="shared" si="13"/>
        <v>0.75999999999999979</v>
      </c>
      <c r="AN25" s="98">
        <f t="shared" si="13"/>
        <v>0.74999999999999978</v>
      </c>
      <c r="AO25" s="98">
        <f t="shared" si="13"/>
        <v>0.73999999999999977</v>
      </c>
      <c r="AP25" s="98">
        <f t="shared" si="13"/>
        <v>0.72999999999999976</v>
      </c>
      <c r="AQ25" s="98">
        <f t="shared" si="13"/>
        <v>0.71999999999999975</v>
      </c>
      <c r="AR25" s="98">
        <f t="shared" si="13"/>
        <v>0.70999999999999974</v>
      </c>
      <c r="AS25" s="98">
        <f t="shared" si="13"/>
        <v>0.69999999999999973</v>
      </c>
      <c r="AT25" s="98">
        <f t="shared" si="13"/>
        <v>0.68999999999999972</v>
      </c>
      <c r="AU25" s="98">
        <f t="shared" si="13"/>
        <v>0.67999999999999972</v>
      </c>
      <c r="AV25" s="98">
        <f t="shared" si="13"/>
        <v>0.66999999999999971</v>
      </c>
    </row>
    <row r="26" spans="1:48">
      <c r="A26" s="4" t="s">
        <v>16</v>
      </c>
      <c r="B26" s="174"/>
      <c r="I26" s="179"/>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row>
    <row r="27" spans="1:48">
      <c r="A27" s="4" t="s">
        <v>16</v>
      </c>
      <c r="B27" s="202" t="s">
        <v>498</v>
      </c>
      <c r="C27" s="203">
        <v>0.2</v>
      </c>
      <c r="I27" s="179"/>
      <c r="J27" s="98"/>
      <c r="K27" s="98"/>
      <c r="L27" s="98"/>
      <c r="M27" s="98"/>
      <c r="N27" s="98"/>
      <c r="O27" s="98"/>
      <c r="P27" s="98"/>
      <c r="Q27" s="98"/>
      <c r="R27" s="98"/>
      <c r="S27" s="98"/>
      <c r="T27" s="98"/>
      <c r="U27" s="98"/>
      <c r="V27" s="98"/>
      <c r="W27" s="98"/>
      <c r="X27" s="98"/>
      <c r="Y27" s="98"/>
      <c r="Z27" s="98"/>
      <c r="AH27" s="98"/>
      <c r="AI27" s="98"/>
      <c r="AJ27" s="98"/>
      <c r="AK27" s="98"/>
      <c r="AL27" s="98"/>
      <c r="AM27" s="98"/>
      <c r="AN27" s="98"/>
      <c r="AO27" s="98"/>
      <c r="AP27" s="98"/>
      <c r="AQ27" s="98"/>
      <c r="AR27" s="98"/>
      <c r="AS27" s="98"/>
      <c r="AT27" s="98"/>
      <c r="AU27" s="98"/>
      <c r="AV27" s="98"/>
    </row>
    <row r="28" spans="1:48">
      <c r="A28" s="4" t="s">
        <v>16</v>
      </c>
      <c r="B28" s="174"/>
      <c r="I28" s="179"/>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row>
    <row r="29" spans="1:48">
      <c r="A29" s="4" t="s">
        <v>16</v>
      </c>
      <c r="B29" s="207" t="s">
        <v>502</v>
      </c>
      <c r="C29" s="197"/>
      <c r="D29" s="197"/>
      <c r="I29" s="179"/>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row>
    <row r="30" spans="1:48">
      <c r="A30" s="4" t="s">
        <v>16</v>
      </c>
      <c r="B30" s="174" t="s">
        <v>499</v>
      </c>
      <c r="D30" s="96" t="s">
        <v>71</v>
      </c>
      <c r="I30" s="179"/>
      <c r="J30" s="260">
        <f>J23</f>
        <v>132.81548999999998</v>
      </c>
      <c r="K30" s="260">
        <f t="shared" ref="K30:O30" si="14">K23</f>
        <v>134.00787499999998</v>
      </c>
      <c r="L30" s="260">
        <f t="shared" si="14"/>
        <v>135.598851</v>
      </c>
      <c r="M30" s="260">
        <f t="shared" si="14"/>
        <v>136.99421599999999</v>
      </c>
      <c r="N30" s="260">
        <f t="shared" si="14"/>
        <v>138.328236</v>
      </c>
      <c r="O30" s="260">
        <f t="shared" si="14"/>
        <v>139.0913265289752</v>
      </c>
      <c r="P30" s="98">
        <f>P25*$O$23</f>
        <v>137.70041326368545</v>
      </c>
      <c r="Q30" s="98">
        <f t="shared" ref="Q30:AV30" si="15">Q25*$O$23</f>
        <v>136.30949999839569</v>
      </c>
      <c r="R30" s="98">
        <f t="shared" si="15"/>
        <v>134.91858673310594</v>
      </c>
      <c r="S30" s="98">
        <f t="shared" si="15"/>
        <v>133.52767346781619</v>
      </c>
      <c r="T30" s="98">
        <f t="shared" si="15"/>
        <v>132.13676020252643</v>
      </c>
      <c r="U30" s="98">
        <f t="shared" si="15"/>
        <v>130.74584693723668</v>
      </c>
      <c r="V30" s="98">
        <f t="shared" si="15"/>
        <v>129.35493367194692</v>
      </c>
      <c r="W30" s="98">
        <f t="shared" si="15"/>
        <v>127.96402040665717</v>
      </c>
      <c r="X30" s="98">
        <f t="shared" si="15"/>
        <v>126.57310714136742</v>
      </c>
      <c r="Y30" s="98">
        <f t="shared" si="15"/>
        <v>125.18219387607768</v>
      </c>
      <c r="Z30" s="98">
        <f t="shared" si="15"/>
        <v>123.79128061078792</v>
      </c>
      <c r="AA30" s="98">
        <f t="shared" si="15"/>
        <v>122.40036734549817</v>
      </c>
      <c r="AB30" s="98">
        <f t="shared" si="15"/>
        <v>121.00945408020841</v>
      </c>
      <c r="AC30" s="98">
        <f t="shared" si="15"/>
        <v>119.61854081491866</v>
      </c>
      <c r="AD30" s="98">
        <f t="shared" si="15"/>
        <v>118.22762754962891</v>
      </c>
      <c r="AE30" s="98">
        <f t="shared" si="15"/>
        <v>116.83671428433915</v>
      </c>
      <c r="AF30" s="98">
        <f t="shared" si="15"/>
        <v>115.4458010190494</v>
      </c>
      <c r="AG30" s="98">
        <f t="shared" si="15"/>
        <v>114.05488775375964</v>
      </c>
      <c r="AH30" s="98">
        <f t="shared" si="15"/>
        <v>112.66397448846989</v>
      </c>
      <c r="AI30" s="98">
        <f t="shared" si="15"/>
        <v>111.27306122318014</v>
      </c>
      <c r="AJ30" s="98">
        <f t="shared" si="15"/>
        <v>109.88214795789038</v>
      </c>
      <c r="AK30" s="98">
        <f t="shared" si="15"/>
        <v>108.49123469260063</v>
      </c>
      <c r="AL30" s="98">
        <f t="shared" si="15"/>
        <v>107.10032142731087</v>
      </c>
      <c r="AM30" s="98">
        <f t="shared" si="15"/>
        <v>105.70940816202112</v>
      </c>
      <c r="AN30" s="98">
        <f t="shared" si="15"/>
        <v>104.31849489673137</v>
      </c>
      <c r="AO30" s="98">
        <f t="shared" si="15"/>
        <v>102.92758163144161</v>
      </c>
      <c r="AP30" s="98">
        <f t="shared" si="15"/>
        <v>101.53666836615186</v>
      </c>
      <c r="AQ30" s="98">
        <f t="shared" si="15"/>
        <v>100.1457551008621</v>
      </c>
      <c r="AR30" s="98">
        <f t="shared" si="15"/>
        <v>98.754841835572364</v>
      </c>
      <c r="AS30" s="98">
        <f t="shared" si="15"/>
        <v>97.36392857028261</v>
      </c>
      <c r="AT30" s="98">
        <f t="shared" si="15"/>
        <v>95.973015304992856</v>
      </c>
      <c r="AU30" s="98">
        <f t="shared" si="15"/>
        <v>94.582102039703102</v>
      </c>
      <c r="AV30" s="98">
        <f t="shared" si="15"/>
        <v>93.191188774413348</v>
      </c>
    </row>
    <row r="31" spans="1:48">
      <c r="A31" s="4" t="s">
        <v>16</v>
      </c>
      <c r="B31" s="174" t="s">
        <v>500</v>
      </c>
      <c r="D31" s="96" t="s">
        <v>71</v>
      </c>
      <c r="I31" s="179"/>
      <c r="J31" s="98">
        <f>J23-J30</f>
        <v>0</v>
      </c>
      <c r="K31" s="98">
        <f t="shared" ref="K31:AV31" si="16">K23-K30</f>
        <v>0</v>
      </c>
      <c r="L31" s="98">
        <f t="shared" si="16"/>
        <v>0</v>
      </c>
      <c r="M31" s="98">
        <f t="shared" si="16"/>
        <v>0</v>
      </c>
      <c r="N31" s="98">
        <f t="shared" si="16"/>
        <v>0</v>
      </c>
      <c r="O31" s="98">
        <f t="shared" si="16"/>
        <v>0</v>
      </c>
      <c r="P31" s="98">
        <f t="shared" si="16"/>
        <v>2.2875787181646956</v>
      </c>
      <c r="Q31" s="98">
        <f t="shared" si="16"/>
        <v>4.7306690569456293</v>
      </c>
      <c r="R31" s="98">
        <f t="shared" si="16"/>
        <v>6.1215823222353833</v>
      </c>
      <c r="S31" s="98">
        <f t="shared" si="16"/>
        <v>8.967475242223685</v>
      </c>
      <c r="T31" s="98">
        <f t="shared" si="16"/>
        <v>11.77721953308037</v>
      </c>
      <c r="U31" s="98">
        <f t="shared" si="16"/>
        <v>14.564512413625096</v>
      </c>
      <c r="V31" s="98">
        <f t="shared" si="16"/>
        <v>17.309049259211889</v>
      </c>
      <c r="W31" s="98">
        <f t="shared" si="16"/>
        <v>20.090909928104111</v>
      </c>
      <c r="X31" s="98">
        <f t="shared" si="16"/>
        <v>23.096774227687973</v>
      </c>
      <c r="Y31" s="98">
        <f t="shared" si="16"/>
        <v>26.066792506454405</v>
      </c>
      <c r="Z31" s="98">
        <f t="shared" si="16"/>
        <v>29.090259294162777</v>
      </c>
      <c r="AA31" s="98">
        <f t="shared" si="16"/>
        <v>32.147316185723</v>
      </c>
      <c r="AB31" s="98">
        <f t="shared" si="16"/>
        <v>35.233368532159417</v>
      </c>
      <c r="AC31" s="98">
        <f t="shared" si="16"/>
        <v>38.571612990624217</v>
      </c>
      <c r="AD31" s="98">
        <f t="shared" si="16"/>
        <v>41.851335042101411</v>
      </c>
      <c r="AE31" s="98">
        <f t="shared" si="16"/>
        <v>45.278572840831274</v>
      </c>
      <c r="AF31" s="98">
        <f t="shared" si="16"/>
        <v>48.819933640598052</v>
      </c>
      <c r="AG31" s="98">
        <f t="shared" si="16"/>
        <v>52.463146461761212</v>
      </c>
      <c r="AH31" s="98">
        <f t="shared" si="16"/>
        <v>56.173348740905041</v>
      </c>
      <c r="AI31" s="98">
        <f t="shared" si="16"/>
        <v>59.93869840507152</v>
      </c>
      <c r="AJ31" s="98">
        <f t="shared" si="16"/>
        <v>63.706230753455472</v>
      </c>
      <c r="AK31" s="98">
        <f t="shared" si="16"/>
        <v>67.531690964919747</v>
      </c>
      <c r="AL31" s="98">
        <f t="shared" si="16"/>
        <v>71.464074586695702</v>
      </c>
      <c r="AM31" s="98">
        <f t="shared" si="16"/>
        <v>75.691977267299123</v>
      </c>
      <c r="AN31" s="98">
        <f t="shared" si="16"/>
        <v>79.865209039248853</v>
      </c>
      <c r="AO31" s="98">
        <f t="shared" si="16"/>
        <v>83.986617004384996</v>
      </c>
      <c r="AP31" s="98">
        <f t="shared" si="16"/>
        <v>88.058812639348943</v>
      </c>
      <c r="AQ31" s="98">
        <f t="shared" si="16"/>
        <v>92.084198072090615</v>
      </c>
      <c r="AR31" s="98">
        <f t="shared" si="16"/>
        <v>96.715326415700616</v>
      </c>
      <c r="AS31" s="98">
        <f t="shared" si="16"/>
        <v>101.28034776749004</v>
      </c>
      <c r="AT31" s="98">
        <f t="shared" si="16"/>
        <v>105.78289974537017</v>
      </c>
      <c r="AU31" s="98">
        <f t="shared" si="16"/>
        <v>110.22630245283787</v>
      </c>
      <c r="AV31" s="98">
        <f t="shared" si="16"/>
        <v>114.82541165426031</v>
      </c>
    </row>
    <row r="32" spans="1:48">
      <c r="A32" s="4" t="s">
        <v>16</v>
      </c>
      <c r="B32" s="175"/>
      <c r="I32" s="179"/>
      <c r="J32" s="98"/>
      <c r="K32" s="98"/>
      <c r="L32" s="98"/>
      <c r="M32" s="98"/>
      <c r="N32" s="98"/>
      <c r="O32" s="98"/>
      <c r="P32" s="98"/>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row>
    <row r="33" spans="1:48">
      <c r="A33" s="4" t="s">
        <v>16</v>
      </c>
      <c r="B33" s="207" t="s">
        <v>507</v>
      </c>
      <c r="C33" s="197"/>
      <c r="D33" s="197"/>
      <c r="I33" s="179"/>
      <c r="J33" s="98"/>
      <c r="K33" s="98"/>
      <c r="L33" s="98"/>
      <c r="M33" s="98"/>
      <c r="N33" s="98"/>
      <c r="O33" s="98"/>
      <c r="P33" s="98"/>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row>
    <row r="34" spans="1:48">
      <c r="A34" s="4" t="s">
        <v>16</v>
      </c>
      <c r="B34" s="174" t="s">
        <v>501</v>
      </c>
      <c r="D34" s="96" t="s">
        <v>71</v>
      </c>
      <c r="I34" s="179"/>
      <c r="J34" s="98">
        <f>SUM(J30:J31)*$C$27</f>
        <v>26.563097999999997</v>
      </c>
      <c r="K34" s="98">
        <f t="shared" ref="K34:AV34" si="17">SUM(K30:K31)*$C$27</f>
        <v>26.801575</v>
      </c>
      <c r="L34" s="98">
        <f t="shared" si="17"/>
        <v>27.119770200000001</v>
      </c>
      <c r="M34" s="98">
        <f t="shared" si="17"/>
        <v>27.398843200000002</v>
      </c>
      <c r="N34" s="98">
        <f t="shared" si="17"/>
        <v>27.665647200000002</v>
      </c>
      <c r="O34" s="98">
        <f t="shared" si="17"/>
        <v>27.818265305795041</v>
      </c>
      <c r="P34" s="263">
        <f t="shared" si="17"/>
        <v>27.99759839637003</v>
      </c>
      <c r="Q34" s="98">
        <f t="shared" si="17"/>
        <v>28.208033811068265</v>
      </c>
      <c r="R34" s="98">
        <f t="shared" si="17"/>
        <v>28.208033811068265</v>
      </c>
      <c r="S34" s="98">
        <f t="shared" si="17"/>
        <v>28.499029742007977</v>
      </c>
      <c r="T34" s="98">
        <f t="shared" si="17"/>
        <v>28.782795947121361</v>
      </c>
      <c r="U34" s="98">
        <f t="shared" si="17"/>
        <v>29.062071870172357</v>
      </c>
      <c r="V34" s="98">
        <f t="shared" si="17"/>
        <v>29.332796586231765</v>
      </c>
      <c r="W34" s="98">
        <f t="shared" si="17"/>
        <v>29.610986066952258</v>
      </c>
      <c r="X34" s="98">
        <f t="shared" si="17"/>
        <v>29.93397627381108</v>
      </c>
      <c r="Y34" s="98">
        <f t="shared" si="17"/>
        <v>30.249797276506417</v>
      </c>
      <c r="Z34" s="98">
        <f t="shared" si="17"/>
        <v>30.576307980990141</v>
      </c>
      <c r="AA34" s="98">
        <f t="shared" si="17"/>
        <v>30.909536706244236</v>
      </c>
      <c r="AB34" s="98">
        <f t="shared" si="17"/>
        <v>31.248564522473568</v>
      </c>
      <c r="AC34" s="98">
        <f t="shared" si="17"/>
        <v>31.638030761108578</v>
      </c>
      <c r="AD34" s="98">
        <f t="shared" si="17"/>
        <v>32.015792518346068</v>
      </c>
      <c r="AE34" s="98">
        <f t="shared" si="17"/>
        <v>32.423057425034088</v>
      </c>
      <c r="AF34" s="98">
        <f t="shared" si="17"/>
        <v>32.853146931929494</v>
      </c>
      <c r="AG34" s="98">
        <f t="shared" si="17"/>
        <v>33.30360684310417</v>
      </c>
      <c r="AH34" s="98">
        <f t="shared" si="17"/>
        <v>33.767464645874988</v>
      </c>
      <c r="AI34" s="98">
        <f t="shared" si="17"/>
        <v>34.242351925650333</v>
      </c>
      <c r="AJ34" s="98">
        <f t="shared" si="17"/>
        <v>34.717675742269172</v>
      </c>
      <c r="AK34" s="98">
        <f t="shared" si="17"/>
        <v>35.204585131504075</v>
      </c>
      <c r="AL34" s="98">
        <f t="shared" si="17"/>
        <v>35.712879202801318</v>
      </c>
      <c r="AM34" s="98">
        <f t="shared" si="17"/>
        <v>36.28027708586405</v>
      </c>
      <c r="AN34" s="98">
        <f t="shared" si="17"/>
        <v>36.836740787196042</v>
      </c>
      <c r="AO34" s="98">
        <f t="shared" si="17"/>
        <v>37.382839727165326</v>
      </c>
      <c r="AP34" s="98">
        <f t="shared" si="17"/>
        <v>37.91909620110016</v>
      </c>
      <c r="AQ34" s="98">
        <f t="shared" si="17"/>
        <v>38.445990634590544</v>
      </c>
      <c r="AR34" s="98">
        <f t="shared" si="17"/>
        <v>39.094033650254602</v>
      </c>
      <c r="AS34" s="98">
        <f t="shared" si="17"/>
        <v>39.728855267554536</v>
      </c>
      <c r="AT34" s="98">
        <f t="shared" si="17"/>
        <v>40.35118301007261</v>
      </c>
      <c r="AU34" s="98">
        <f t="shared" si="17"/>
        <v>40.961680898508199</v>
      </c>
      <c r="AV34" s="98">
        <f t="shared" si="17"/>
        <v>41.603320085734737</v>
      </c>
    </row>
    <row r="35" spans="1:48">
      <c r="A35" s="4" t="s">
        <v>16</v>
      </c>
      <c r="B35" s="174" t="s">
        <v>503</v>
      </c>
      <c r="C35" s="174"/>
      <c r="D35" s="96" t="s">
        <v>71</v>
      </c>
      <c r="E35" s="98"/>
      <c r="F35" s="98"/>
      <c r="G35" s="98"/>
      <c r="H35" s="98"/>
      <c r="I35" s="179"/>
      <c r="J35" s="98">
        <f>J30-J34*(J30/SUM(J30:J31))</f>
        <v>106.25239199999999</v>
      </c>
      <c r="K35" s="98">
        <f t="shared" ref="K35:AV35" si="18">K30-K34*(K30/SUM(K30:K31))</f>
        <v>107.20629999999998</v>
      </c>
      <c r="L35" s="98">
        <f t="shared" si="18"/>
        <v>108.47908079999999</v>
      </c>
      <c r="M35" s="98">
        <f t="shared" si="18"/>
        <v>109.59537279999999</v>
      </c>
      <c r="N35" s="98">
        <f t="shared" si="18"/>
        <v>110.66258880000001</v>
      </c>
      <c r="O35" s="98">
        <f t="shared" si="18"/>
        <v>111.27306122318016</v>
      </c>
      <c r="P35" s="263">
        <f t="shared" si="18"/>
        <v>110.16033061094836</v>
      </c>
      <c r="Q35" s="98">
        <f t="shared" si="18"/>
        <v>109.04759999871655</v>
      </c>
      <c r="R35" s="98">
        <f t="shared" si="18"/>
        <v>107.93486938648475</v>
      </c>
      <c r="S35" s="98">
        <f t="shared" si="18"/>
        <v>106.82213877425295</v>
      </c>
      <c r="T35" s="98">
        <f t="shared" si="18"/>
        <v>105.70940816202115</v>
      </c>
      <c r="U35" s="98">
        <f t="shared" si="18"/>
        <v>104.59667754978935</v>
      </c>
      <c r="V35" s="98">
        <f t="shared" si="18"/>
        <v>103.48394693755753</v>
      </c>
      <c r="W35" s="98">
        <f t="shared" si="18"/>
        <v>102.37121632532573</v>
      </c>
      <c r="X35" s="98">
        <f t="shared" si="18"/>
        <v>101.25848571309393</v>
      </c>
      <c r="Y35" s="98">
        <f t="shared" si="18"/>
        <v>100.14575510086215</v>
      </c>
      <c r="Z35" s="98">
        <f t="shared" si="18"/>
        <v>99.033024488630332</v>
      </c>
      <c r="AA35" s="98">
        <f t="shared" si="18"/>
        <v>97.920293876398532</v>
      </c>
      <c r="AB35" s="98">
        <f t="shared" si="18"/>
        <v>96.807563264166731</v>
      </c>
      <c r="AC35" s="98">
        <f t="shared" si="18"/>
        <v>95.694832651934931</v>
      </c>
      <c r="AD35" s="98">
        <f t="shared" si="18"/>
        <v>94.58210203970313</v>
      </c>
      <c r="AE35" s="98">
        <f t="shared" si="18"/>
        <v>93.469371427471316</v>
      </c>
      <c r="AF35" s="98">
        <f t="shared" si="18"/>
        <v>92.356640815239516</v>
      </c>
      <c r="AG35" s="98">
        <f t="shared" si="18"/>
        <v>91.243910203007715</v>
      </c>
      <c r="AH35" s="98">
        <f t="shared" si="18"/>
        <v>90.131179590775915</v>
      </c>
      <c r="AI35" s="98">
        <f t="shared" si="18"/>
        <v>89.018448978544114</v>
      </c>
      <c r="AJ35" s="98">
        <f t="shared" si="18"/>
        <v>87.9057183663123</v>
      </c>
      <c r="AK35" s="98">
        <f t="shared" si="18"/>
        <v>86.792987754080499</v>
      </c>
      <c r="AL35" s="98">
        <f t="shared" si="18"/>
        <v>85.680257141848699</v>
      </c>
      <c r="AM35" s="98">
        <f t="shared" si="18"/>
        <v>84.567526529616899</v>
      </c>
      <c r="AN35" s="98">
        <f t="shared" si="18"/>
        <v>83.454795917385098</v>
      </c>
      <c r="AO35" s="98">
        <f t="shared" si="18"/>
        <v>82.342065305153284</v>
      </c>
      <c r="AP35" s="98">
        <f t="shared" si="18"/>
        <v>81.229334692921483</v>
      </c>
      <c r="AQ35" s="98">
        <f t="shared" si="18"/>
        <v>80.116604080689683</v>
      </c>
      <c r="AR35" s="98">
        <f t="shared" si="18"/>
        <v>79.003873468457897</v>
      </c>
      <c r="AS35" s="98">
        <f t="shared" si="18"/>
        <v>77.891142856226082</v>
      </c>
      <c r="AT35" s="98">
        <f t="shared" si="18"/>
        <v>76.778412243994282</v>
      </c>
      <c r="AU35" s="98">
        <f t="shared" si="18"/>
        <v>75.665681631762482</v>
      </c>
      <c r="AV35" s="98">
        <f t="shared" si="18"/>
        <v>74.552951019530667</v>
      </c>
    </row>
    <row r="36" spans="1:48">
      <c r="A36" s="4" t="s">
        <v>16</v>
      </c>
      <c r="B36" s="174" t="s">
        <v>504</v>
      </c>
      <c r="C36" s="174"/>
      <c r="D36" s="96" t="s">
        <v>71</v>
      </c>
      <c r="E36" s="98"/>
      <c r="F36" s="98"/>
      <c r="G36" s="98"/>
      <c r="H36" s="98"/>
      <c r="I36" s="179"/>
      <c r="J36" s="98">
        <f>J23-J35-J34</f>
        <v>0</v>
      </c>
      <c r="K36" s="98">
        <f t="shared" ref="K36:AV36" si="19">K23-K35-K34</f>
        <v>0</v>
      </c>
      <c r="L36" s="98">
        <f t="shared" si="19"/>
        <v>0</v>
      </c>
      <c r="M36" s="98">
        <f t="shared" si="19"/>
        <v>0</v>
      </c>
      <c r="N36" s="98">
        <f t="shared" si="19"/>
        <v>0</v>
      </c>
      <c r="O36" s="98">
        <f t="shared" si="19"/>
        <v>0</v>
      </c>
      <c r="P36" s="263">
        <f t="shared" si="19"/>
        <v>1.8300629745317494</v>
      </c>
      <c r="Q36" s="98">
        <f t="shared" si="19"/>
        <v>3.7845352455565084</v>
      </c>
      <c r="R36" s="98">
        <f t="shared" si="19"/>
        <v>4.8972658577883088</v>
      </c>
      <c r="S36" s="98">
        <f t="shared" si="19"/>
        <v>7.1739801937789451</v>
      </c>
      <c r="T36" s="98">
        <f t="shared" si="19"/>
        <v>9.4217756264642922</v>
      </c>
      <c r="U36" s="98">
        <f t="shared" si="19"/>
        <v>11.651609930900069</v>
      </c>
      <c r="V36" s="98">
        <f t="shared" si="19"/>
        <v>13.847239407369514</v>
      </c>
      <c r="W36" s="98">
        <f t="shared" si="19"/>
        <v>16.07272794248329</v>
      </c>
      <c r="X36" s="98">
        <f t="shared" si="19"/>
        <v>18.477419382150376</v>
      </c>
      <c r="Y36" s="98">
        <f t="shared" si="19"/>
        <v>20.853434005163518</v>
      </c>
      <c r="Z36" s="98">
        <f t="shared" si="19"/>
        <v>23.272207435330227</v>
      </c>
      <c r="AA36" s="98">
        <f t="shared" si="19"/>
        <v>25.7178529485784</v>
      </c>
      <c r="AB36" s="98">
        <f t="shared" si="19"/>
        <v>28.186694825727532</v>
      </c>
      <c r="AC36" s="98">
        <f t="shared" si="19"/>
        <v>30.857290392499369</v>
      </c>
      <c r="AD36" s="98">
        <f t="shared" si="19"/>
        <v>33.481068033681119</v>
      </c>
      <c r="AE36" s="98">
        <f t="shared" si="19"/>
        <v>36.222858272665022</v>
      </c>
      <c r="AF36" s="98">
        <f t="shared" si="19"/>
        <v>39.05594691247844</v>
      </c>
      <c r="AG36" s="98">
        <f t="shared" si="19"/>
        <v>41.970517169408971</v>
      </c>
      <c r="AH36" s="98">
        <f t="shared" si="19"/>
        <v>44.938678992724029</v>
      </c>
      <c r="AI36" s="98">
        <f t="shared" si="19"/>
        <v>47.950958724057209</v>
      </c>
      <c r="AJ36" s="98">
        <f t="shared" si="19"/>
        <v>50.964984602764382</v>
      </c>
      <c r="AK36" s="98">
        <f t="shared" si="19"/>
        <v>54.0253527719358</v>
      </c>
      <c r="AL36" s="98">
        <f t="shared" si="19"/>
        <v>57.171259669356559</v>
      </c>
      <c r="AM36" s="98">
        <f t="shared" si="19"/>
        <v>60.553581813839294</v>
      </c>
      <c r="AN36" s="98">
        <f t="shared" si="19"/>
        <v>63.892167231399078</v>
      </c>
      <c r="AO36" s="98">
        <f t="shared" si="19"/>
        <v>67.189293603507991</v>
      </c>
      <c r="AP36" s="98">
        <f t="shared" si="19"/>
        <v>70.447050111479157</v>
      </c>
      <c r="AQ36" s="98">
        <f t="shared" si="19"/>
        <v>73.667358457672492</v>
      </c>
      <c r="AR36" s="98">
        <f t="shared" si="19"/>
        <v>77.372261132560482</v>
      </c>
      <c r="AS36" s="98">
        <f t="shared" si="19"/>
        <v>81.024278213992034</v>
      </c>
      <c r="AT36" s="98">
        <f t="shared" si="19"/>
        <v>84.626319796296144</v>
      </c>
      <c r="AU36" s="98">
        <f t="shared" si="19"/>
        <v>88.181041962270285</v>
      </c>
      <c r="AV36" s="98">
        <f t="shared" si="19"/>
        <v>91.860329323408251</v>
      </c>
    </row>
    <row r="37" spans="1:48">
      <c r="A37" s="4" t="s">
        <v>16</v>
      </c>
      <c r="B37" s="174"/>
      <c r="C37" s="174"/>
      <c r="E37" s="98"/>
      <c r="F37" s="98"/>
      <c r="G37" s="98"/>
      <c r="H37" s="98"/>
      <c r="I37" s="179"/>
      <c r="J37" s="98"/>
      <c r="K37" s="98"/>
      <c r="L37" s="98"/>
      <c r="M37" s="98"/>
      <c r="N37" s="98"/>
      <c r="O37" s="98"/>
      <c r="P37" s="98"/>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row>
    <row r="38" spans="1:48">
      <c r="A38" s="4" t="s">
        <v>16</v>
      </c>
      <c r="E38" s="98"/>
      <c r="F38" s="98"/>
      <c r="G38" s="98"/>
      <c r="H38" s="98"/>
      <c r="I38" s="179"/>
      <c r="J38" s="98"/>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row>
    <row r="39" spans="1:48" ht="15.75">
      <c r="A39" s="4" t="s">
        <v>16</v>
      </c>
      <c r="B39" s="199" t="s">
        <v>505</v>
      </c>
      <c r="C39" s="174"/>
      <c r="E39" s="98"/>
      <c r="F39" s="98"/>
      <c r="G39" s="98"/>
      <c r="H39" s="98"/>
      <c r="I39" s="179"/>
      <c r="J39" s="115"/>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row>
    <row r="40" spans="1:48">
      <c r="A40" s="4" t="s">
        <v>16</v>
      </c>
      <c r="B40" s="198" t="s">
        <v>511</v>
      </c>
      <c r="C40" s="174"/>
      <c r="E40" s="98"/>
      <c r="F40" s="98"/>
      <c r="G40" s="98"/>
      <c r="H40" s="98"/>
      <c r="I40" s="98"/>
      <c r="J40" s="97"/>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row>
    <row r="41" spans="1:48">
      <c r="A41" s="4" t="s">
        <v>16</v>
      </c>
      <c r="B41" s="99" t="s">
        <v>234</v>
      </c>
      <c r="C41" s="99"/>
      <c r="D41" s="112" t="s">
        <v>235</v>
      </c>
      <c r="E41" s="113"/>
      <c r="F41" s="113"/>
      <c r="G41" s="113"/>
      <c r="H41" s="113"/>
      <c r="I41" s="113"/>
      <c r="J41" s="114">
        <v>0</v>
      </c>
      <c r="K41" s="113">
        <f t="shared" ref="K41:AV41" si="20">K36-J36</f>
        <v>0</v>
      </c>
      <c r="L41" s="113">
        <f t="shared" si="20"/>
        <v>0</v>
      </c>
      <c r="M41" s="113">
        <f t="shared" si="20"/>
        <v>0</v>
      </c>
      <c r="N41" s="113">
        <f t="shared" si="20"/>
        <v>0</v>
      </c>
      <c r="O41" s="113">
        <f t="shared" si="20"/>
        <v>0</v>
      </c>
      <c r="P41" s="113">
        <f t="shared" si="20"/>
        <v>1.8300629745317494</v>
      </c>
      <c r="Q41" s="113">
        <f t="shared" si="20"/>
        <v>1.9544722710247591</v>
      </c>
      <c r="R41" s="113">
        <f t="shared" si="20"/>
        <v>1.1127306122318004</v>
      </c>
      <c r="S41" s="113">
        <f t="shared" si="20"/>
        <v>2.2767143359906363</v>
      </c>
      <c r="T41" s="113">
        <f t="shared" si="20"/>
        <v>2.2477954326853471</v>
      </c>
      <c r="U41" s="113">
        <f t="shared" si="20"/>
        <v>2.2298343044357765</v>
      </c>
      <c r="V41" s="113">
        <f t="shared" si="20"/>
        <v>2.1956294764694455</v>
      </c>
      <c r="W41" s="113">
        <f t="shared" si="20"/>
        <v>2.2254885351137759</v>
      </c>
      <c r="X41" s="113">
        <f t="shared" si="20"/>
        <v>2.4046914396670864</v>
      </c>
      <c r="Y41" s="113">
        <f t="shared" si="20"/>
        <v>2.3760146230131411</v>
      </c>
      <c r="Z41" s="113">
        <f t="shared" si="20"/>
        <v>2.4187734301667092</v>
      </c>
      <c r="AA41" s="113">
        <f t="shared" si="20"/>
        <v>2.4456455132481736</v>
      </c>
      <c r="AB41" s="113">
        <f t="shared" si="20"/>
        <v>2.4688418771491314</v>
      </c>
      <c r="AC41" s="113">
        <f t="shared" si="20"/>
        <v>2.6705955667718371</v>
      </c>
      <c r="AD41" s="113">
        <f t="shared" si="20"/>
        <v>2.6237776411817499</v>
      </c>
      <c r="AE41" s="113">
        <f t="shared" si="20"/>
        <v>2.7417902389839028</v>
      </c>
      <c r="AF41" s="113">
        <f t="shared" si="20"/>
        <v>2.8330886398134183</v>
      </c>
      <c r="AG41" s="113">
        <f t="shared" si="20"/>
        <v>2.9145702569305314</v>
      </c>
      <c r="AH41" s="113">
        <f t="shared" si="20"/>
        <v>2.9681618233150573</v>
      </c>
      <c r="AI41" s="113">
        <f t="shared" si="20"/>
        <v>3.0122797313331802</v>
      </c>
      <c r="AJ41" s="113">
        <f t="shared" si="20"/>
        <v>3.014025878707173</v>
      </c>
      <c r="AK41" s="113">
        <f t="shared" si="20"/>
        <v>3.0603681691714186</v>
      </c>
      <c r="AL41" s="113">
        <f t="shared" si="20"/>
        <v>3.1459068974207582</v>
      </c>
      <c r="AM41" s="113">
        <f t="shared" si="20"/>
        <v>3.3823221444827354</v>
      </c>
      <c r="AN41" s="113">
        <f t="shared" si="20"/>
        <v>3.3385854175597842</v>
      </c>
      <c r="AO41" s="113">
        <f t="shared" si="20"/>
        <v>3.297126372108913</v>
      </c>
      <c r="AP41" s="113">
        <f t="shared" si="20"/>
        <v>3.2577565079711661</v>
      </c>
      <c r="AQ41" s="113">
        <f t="shared" si="20"/>
        <v>3.2203083461933346</v>
      </c>
      <c r="AR41" s="113">
        <f t="shared" si="20"/>
        <v>3.7049026748879896</v>
      </c>
      <c r="AS41" s="113">
        <f t="shared" si="20"/>
        <v>3.652017081431552</v>
      </c>
      <c r="AT41" s="113">
        <f t="shared" si="20"/>
        <v>3.6020415823041105</v>
      </c>
      <c r="AU41" s="113">
        <f t="shared" si="20"/>
        <v>3.554722165974141</v>
      </c>
      <c r="AV41" s="113">
        <f t="shared" si="20"/>
        <v>3.6792873611379662</v>
      </c>
    </row>
    <row r="42" spans="1:48">
      <c r="A42" s="4" t="s">
        <v>16</v>
      </c>
      <c r="B42" s="174" t="s">
        <v>236</v>
      </c>
      <c r="C42" s="174"/>
      <c r="E42" s="98"/>
      <c r="F42" s="98"/>
      <c r="G42" s="98"/>
      <c r="H42" s="98"/>
      <c r="I42" s="98"/>
      <c r="J42" s="97"/>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row>
    <row r="43" spans="1:48">
      <c r="A43" s="4" t="s">
        <v>16</v>
      </c>
      <c r="B43" s="198" t="str">
        <f>C14</f>
        <v>A</v>
      </c>
      <c r="C43" s="174"/>
      <c r="E43" s="98"/>
      <c r="F43" s="98"/>
      <c r="G43" s="98"/>
      <c r="H43" s="98"/>
      <c r="I43" s="200"/>
      <c r="J43" s="115">
        <f t="shared" ref="J43:S46" si="21">SUM($J$41:$AV$41*(J$4=$J$4:$AV$4)*($B43=$J$11:$AV$11))</f>
        <v>0</v>
      </c>
      <c r="K43" s="115">
        <f t="shared" si="21"/>
        <v>0</v>
      </c>
      <c r="L43" s="115">
        <f t="shared" si="21"/>
        <v>0</v>
      </c>
      <c r="M43" s="115">
        <f t="shared" si="21"/>
        <v>0</v>
      </c>
      <c r="N43" s="115">
        <f t="shared" si="21"/>
        <v>0</v>
      </c>
      <c r="O43" s="115">
        <f t="shared" si="21"/>
        <v>0</v>
      </c>
      <c r="P43" s="115">
        <f t="shared" si="21"/>
        <v>0</v>
      </c>
      <c r="Q43" s="115">
        <f t="shared" si="21"/>
        <v>0</v>
      </c>
      <c r="R43" s="115">
        <f t="shared" si="21"/>
        <v>0</v>
      </c>
      <c r="S43" s="115">
        <f t="shared" si="21"/>
        <v>0</v>
      </c>
      <c r="T43" s="115">
        <f t="shared" ref="T43:AC46" si="22">SUM($J$41:$AV$41*(T$4=$J$4:$AV$4)*($B43=$J$11:$AV$11))</f>
        <v>0</v>
      </c>
      <c r="U43" s="115">
        <f t="shared" si="22"/>
        <v>0</v>
      </c>
      <c r="V43" s="115">
        <f t="shared" si="22"/>
        <v>0</v>
      </c>
      <c r="W43" s="115">
        <f t="shared" si="22"/>
        <v>0</v>
      </c>
      <c r="X43" s="115">
        <f t="shared" si="22"/>
        <v>0</v>
      </c>
      <c r="Y43" s="115">
        <f t="shared" si="22"/>
        <v>0</v>
      </c>
      <c r="Z43" s="115">
        <f t="shared" si="22"/>
        <v>0</v>
      </c>
      <c r="AA43" s="115">
        <f t="shared" si="22"/>
        <v>0</v>
      </c>
      <c r="AB43" s="115">
        <f t="shared" si="22"/>
        <v>0</v>
      </c>
      <c r="AC43" s="115">
        <f t="shared" si="22"/>
        <v>0</v>
      </c>
      <c r="AD43" s="115">
        <f t="shared" ref="AD43:AM46" si="23">SUM($J$41:$AV$41*(AD$4=$J$4:$AV$4)*($B43=$J$11:$AV$11))</f>
        <v>0</v>
      </c>
      <c r="AE43" s="115">
        <f t="shared" si="23"/>
        <v>0</v>
      </c>
      <c r="AF43" s="115">
        <f t="shared" si="23"/>
        <v>0</v>
      </c>
      <c r="AG43" s="115">
        <f t="shared" si="23"/>
        <v>0</v>
      </c>
      <c r="AH43" s="115">
        <f t="shared" si="23"/>
        <v>0</v>
      </c>
      <c r="AI43" s="115">
        <f t="shared" si="23"/>
        <v>0</v>
      </c>
      <c r="AJ43" s="115">
        <f t="shared" si="23"/>
        <v>0</v>
      </c>
      <c r="AK43" s="115">
        <f t="shared" si="23"/>
        <v>0</v>
      </c>
      <c r="AL43" s="115">
        <f t="shared" si="23"/>
        <v>0</v>
      </c>
      <c r="AM43" s="115">
        <f t="shared" si="23"/>
        <v>0</v>
      </c>
      <c r="AN43" s="115">
        <f t="shared" ref="AN43:AV46" si="24">SUM($J$41:$AV$41*(AN$4=$J$4:$AV$4)*($B43=$J$11:$AV$11))</f>
        <v>0</v>
      </c>
      <c r="AO43" s="115">
        <f t="shared" si="24"/>
        <v>0</v>
      </c>
      <c r="AP43" s="115">
        <f t="shared" si="24"/>
        <v>0</v>
      </c>
      <c r="AQ43" s="115">
        <f t="shared" si="24"/>
        <v>0</v>
      </c>
      <c r="AR43" s="115">
        <f t="shared" si="24"/>
        <v>0</v>
      </c>
      <c r="AS43" s="115">
        <f t="shared" si="24"/>
        <v>0</v>
      </c>
      <c r="AT43" s="115">
        <f t="shared" si="24"/>
        <v>0</v>
      </c>
      <c r="AU43" s="115">
        <f t="shared" si="24"/>
        <v>0</v>
      </c>
      <c r="AV43" s="115">
        <f t="shared" si="24"/>
        <v>0</v>
      </c>
    </row>
    <row r="44" spans="1:48">
      <c r="A44" s="4" t="s">
        <v>16</v>
      </c>
      <c r="B44" s="198" t="str">
        <f>C15</f>
        <v>B</v>
      </c>
      <c r="C44" s="174"/>
      <c r="E44" s="98"/>
      <c r="F44" s="98"/>
      <c r="G44" s="98"/>
      <c r="H44" s="98"/>
      <c r="I44" s="200"/>
      <c r="J44" s="115">
        <f t="shared" si="21"/>
        <v>0</v>
      </c>
      <c r="K44" s="115">
        <f t="shared" si="21"/>
        <v>0</v>
      </c>
      <c r="L44" s="115">
        <f t="shared" si="21"/>
        <v>0</v>
      </c>
      <c r="M44" s="115">
        <f t="shared" si="21"/>
        <v>0</v>
      </c>
      <c r="N44" s="115">
        <f t="shared" si="21"/>
        <v>0</v>
      </c>
      <c r="O44" s="115">
        <f t="shared" si="21"/>
        <v>0</v>
      </c>
      <c r="P44" s="115">
        <f t="shared" si="21"/>
        <v>1.8300629745317494</v>
      </c>
      <c r="Q44" s="115">
        <f t="shared" si="21"/>
        <v>1.9544722710247591</v>
      </c>
      <c r="R44" s="115">
        <f t="shared" si="21"/>
        <v>1.1127306122318004</v>
      </c>
      <c r="S44" s="115">
        <f t="shared" si="21"/>
        <v>2.2767143359906363</v>
      </c>
      <c r="T44" s="115">
        <f t="shared" si="22"/>
        <v>2.2477954326853471</v>
      </c>
      <c r="U44" s="115">
        <f t="shared" si="22"/>
        <v>2.2298343044357765</v>
      </c>
      <c r="V44" s="115">
        <f t="shared" si="22"/>
        <v>2.1956294764694455</v>
      </c>
      <c r="W44" s="115">
        <f t="shared" si="22"/>
        <v>2.2254885351137759</v>
      </c>
      <c r="X44" s="115">
        <f t="shared" si="22"/>
        <v>2.4046914396670864</v>
      </c>
      <c r="Y44" s="115">
        <f t="shared" si="22"/>
        <v>2.3760146230131411</v>
      </c>
      <c r="Z44" s="115">
        <f t="shared" si="22"/>
        <v>2.4187734301667092</v>
      </c>
      <c r="AA44" s="115">
        <f t="shared" si="22"/>
        <v>2.4456455132481736</v>
      </c>
      <c r="AB44" s="115">
        <f t="shared" si="22"/>
        <v>2.4688418771491314</v>
      </c>
      <c r="AC44" s="115">
        <f t="shared" si="22"/>
        <v>0</v>
      </c>
      <c r="AD44" s="115">
        <f t="shared" si="23"/>
        <v>0</v>
      </c>
      <c r="AE44" s="115">
        <f t="shared" si="23"/>
        <v>0</v>
      </c>
      <c r="AF44" s="115">
        <f t="shared" si="23"/>
        <v>0</v>
      </c>
      <c r="AG44" s="115">
        <f t="shared" si="23"/>
        <v>0</v>
      </c>
      <c r="AH44" s="115">
        <f t="shared" si="23"/>
        <v>0</v>
      </c>
      <c r="AI44" s="115">
        <f t="shared" si="23"/>
        <v>0</v>
      </c>
      <c r="AJ44" s="115">
        <f t="shared" si="23"/>
        <v>0</v>
      </c>
      <c r="AK44" s="115">
        <f t="shared" si="23"/>
        <v>0</v>
      </c>
      <c r="AL44" s="115">
        <f t="shared" si="23"/>
        <v>0</v>
      </c>
      <c r="AM44" s="115">
        <f t="shared" si="23"/>
        <v>0</v>
      </c>
      <c r="AN44" s="115">
        <f t="shared" si="24"/>
        <v>0</v>
      </c>
      <c r="AO44" s="115">
        <f t="shared" si="24"/>
        <v>0</v>
      </c>
      <c r="AP44" s="115">
        <f t="shared" si="24"/>
        <v>0</v>
      </c>
      <c r="AQ44" s="115">
        <f t="shared" si="24"/>
        <v>0</v>
      </c>
      <c r="AR44" s="115">
        <f t="shared" si="24"/>
        <v>0</v>
      </c>
      <c r="AS44" s="115">
        <f t="shared" si="24"/>
        <v>0</v>
      </c>
      <c r="AT44" s="115">
        <f t="shared" si="24"/>
        <v>0</v>
      </c>
      <c r="AU44" s="115">
        <f t="shared" si="24"/>
        <v>0</v>
      </c>
      <c r="AV44" s="115">
        <f t="shared" si="24"/>
        <v>0</v>
      </c>
    </row>
    <row r="45" spans="1:48">
      <c r="A45" s="4" t="s">
        <v>16</v>
      </c>
      <c r="B45" s="198" t="str">
        <f>C16</f>
        <v>C</v>
      </c>
      <c r="C45" s="174"/>
      <c r="E45" s="98"/>
      <c r="F45" s="98"/>
      <c r="G45" s="98"/>
      <c r="H45" s="98"/>
      <c r="I45" s="200"/>
      <c r="J45" s="115">
        <f t="shared" si="21"/>
        <v>0</v>
      </c>
      <c r="K45" s="115">
        <f t="shared" si="21"/>
        <v>0</v>
      </c>
      <c r="L45" s="115">
        <f t="shared" si="21"/>
        <v>0</v>
      </c>
      <c r="M45" s="115">
        <f t="shared" si="21"/>
        <v>0</v>
      </c>
      <c r="N45" s="115">
        <f t="shared" si="21"/>
        <v>0</v>
      </c>
      <c r="O45" s="115">
        <f t="shared" si="21"/>
        <v>0</v>
      </c>
      <c r="P45" s="115">
        <f t="shared" si="21"/>
        <v>0</v>
      </c>
      <c r="Q45" s="115">
        <f t="shared" si="21"/>
        <v>0</v>
      </c>
      <c r="R45" s="115">
        <f t="shared" si="21"/>
        <v>0</v>
      </c>
      <c r="S45" s="115">
        <f t="shared" si="21"/>
        <v>0</v>
      </c>
      <c r="T45" s="115">
        <f t="shared" si="22"/>
        <v>0</v>
      </c>
      <c r="U45" s="115">
        <f t="shared" si="22"/>
        <v>0</v>
      </c>
      <c r="V45" s="115">
        <f t="shared" si="22"/>
        <v>0</v>
      </c>
      <c r="W45" s="115">
        <f t="shared" si="22"/>
        <v>0</v>
      </c>
      <c r="X45" s="115">
        <f t="shared" si="22"/>
        <v>0</v>
      </c>
      <c r="Y45" s="115">
        <f t="shared" si="22"/>
        <v>0</v>
      </c>
      <c r="Z45" s="115">
        <f t="shared" si="22"/>
        <v>0</v>
      </c>
      <c r="AA45" s="115">
        <f t="shared" si="22"/>
        <v>0</v>
      </c>
      <c r="AB45" s="115">
        <f t="shared" si="22"/>
        <v>0</v>
      </c>
      <c r="AC45" s="115">
        <f t="shared" si="22"/>
        <v>2.6705955667718371</v>
      </c>
      <c r="AD45" s="115">
        <f t="shared" si="23"/>
        <v>2.6237776411817499</v>
      </c>
      <c r="AE45" s="115">
        <f t="shared" si="23"/>
        <v>2.7417902389839028</v>
      </c>
      <c r="AF45" s="115">
        <f t="shared" si="23"/>
        <v>2.8330886398134183</v>
      </c>
      <c r="AG45" s="115">
        <f t="shared" si="23"/>
        <v>2.9145702569305314</v>
      </c>
      <c r="AH45" s="115">
        <f t="shared" si="23"/>
        <v>2.9681618233150573</v>
      </c>
      <c r="AI45" s="115">
        <f t="shared" si="23"/>
        <v>3.0122797313331802</v>
      </c>
      <c r="AJ45" s="115">
        <f t="shared" si="23"/>
        <v>3.014025878707173</v>
      </c>
      <c r="AK45" s="115">
        <f t="shared" si="23"/>
        <v>3.0603681691714186</v>
      </c>
      <c r="AL45" s="115">
        <f t="shared" si="23"/>
        <v>3.1459068974207582</v>
      </c>
      <c r="AM45" s="115">
        <f t="shared" si="23"/>
        <v>0</v>
      </c>
      <c r="AN45" s="115">
        <f t="shared" si="24"/>
        <v>0</v>
      </c>
      <c r="AO45" s="115">
        <f t="shared" si="24"/>
        <v>0</v>
      </c>
      <c r="AP45" s="115">
        <f t="shared" si="24"/>
        <v>0</v>
      </c>
      <c r="AQ45" s="115">
        <f t="shared" si="24"/>
        <v>0</v>
      </c>
      <c r="AR45" s="115">
        <f t="shared" si="24"/>
        <v>0</v>
      </c>
      <c r="AS45" s="115">
        <f t="shared" si="24"/>
        <v>0</v>
      </c>
      <c r="AT45" s="115">
        <f t="shared" si="24"/>
        <v>0</v>
      </c>
      <c r="AU45" s="115">
        <f t="shared" si="24"/>
        <v>0</v>
      </c>
      <c r="AV45" s="115">
        <f t="shared" si="24"/>
        <v>0</v>
      </c>
    </row>
    <row r="46" spans="1:48">
      <c r="A46" s="4" t="s">
        <v>16</v>
      </c>
      <c r="B46" s="198" t="str">
        <f>C17</f>
        <v>D</v>
      </c>
      <c r="C46" s="174"/>
      <c r="E46" s="98"/>
      <c r="F46" s="98"/>
      <c r="G46" s="98"/>
      <c r="H46" s="98"/>
      <c r="I46" s="200"/>
      <c r="J46" s="115">
        <f t="shared" si="21"/>
        <v>0</v>
      </c>
      <c r="K46" s="115">
        <f t="shared" si="21"/>
        <v>0</v>
      </c>
      <c r="L46" s="115">
        <f t="shared" si="21"/>
        <v>0</v>
      </c>
      <c r="M46" s="115">
        <f t="shared" si="21"/>
        <v>0</v>
      </c>
      <c r="N46" s="115">
        <f t="shared" si="21"/>
        <v>0</v>
      </c>
      <c r="O46" s="115">
        <f t="shared" si="21"/>
        <v>0</v>
      </c>
      <c r="P46" s="115">
        <f t="shared" si="21"/>
        <v>0</v>
      </c>
      <c r="Q46" s="115">
        <f t="shared" si="21"/>
        <v>0</v>
      </c>
      <c r="R46" s="115">
        <f t="shared" si="21"/>
        <v>0</v>
      </c>
      <c r="S46" s="115">
        <f t="shared" si="21"/>
        <v>0</v>
      </c>
      <c r="T46" s="115">
        <f t="shared" si="22"/>
        <v>0</v>
      </c>
      <c r="U46" s="115">
        <f t="shared" si="22"/>
        <v>0</v>
      </c>
      <c r="V46" s="115">
        <f t="shared" si="22"/>
        <v>0</v>
      </c>
      <c r="W46" s="115">
        <f t="shared" si="22"/>
        <v>0</v>
      </c>
      <c r="X46" s="115">
        <f t="shared" si="22"/>
        <v>0</v>
      </c>
      <c r="Y46" s="115">
        <f t="shared" si="22"/>
        <v>0</v>
      </c>
      <c r="Z46" s="115">
        <f t="shared" si="22"/>
        <v>0</v>
      </c>
      <c r="AA46" s="115">
        <f t="shared" si="22"/>
        <v>0</v>
      </c>
      <c r="AB46" s="115">
        <f t="shared" si="22"/>
        <v>0</v>
      </c>
      <c r="AC46" s="115">
        <f t="shared" si="22"/>
        <v>0</v>
      </c>
      <c r="AD46" s="115">
        <f t="shared" si="23"/>
        <v>0</v>
      </c>
      <c r="AE46" s="115">
        <f t="shared" si="23"/>
        <v>0</v>
      </c>
      <c r="AF46" s="115">
        <f t="shared" si="23"/>
        <v>0</v>
      </c>
      <c r="AG46" s="115">
        <f t="shared" si="23"/>
        <v>0</v>
      </c>
      <c r="AH46" s="115">
        <f t="shared" si="23"/>
        <v>0</v>
      </c>
      <c r="AI46" s="115">
        <f t="shared" si="23"/>
        <v>0</v>
      </c>
      <c r="AJ46" s="115">
        <f t="shared" si="23"/>
        <v>0</v>
      </c>
      <c r="AK46" s="115">
        <f t="shared" si="23"/>
        <v>0</v>
      </c>
      <c r="AL46" s="115">
        <f t="shared" si="23"/>
        <v>0</v>
      </c>
      <c r="AM46" s="115">
        <f t="shared" si="23"/>
        <v>3.3823221444827354</v>
      </c>
      <c r="AN46" s="115">
        <f t="shared" si="24"/>
        <v>3.3385854175597842</v>
      </c>
      <c r="AO46" s="115">
        <f t="shared" si="24"/>
        <v>3.297126372108913</v>
      </c>
      <c r="AP46" s="115">
        <f t="shared" si="24"/>
        <v>3.2577565079711661</v>
      </c>
      <c r="AQ46" s="115">
        <f t="shared" si="24"/>
        <v>3.2203083461933346</v>
      </c>
      <c r="AR46" s="115">
        <f t="shared" si="24"/>
        <v>3.7049026748879896</v>
      </c>
      <c r="AS46" s="115">
        <f t="shared" si="24"/>
        <v>3.652017081431552</v>
      </c>
      <c r="AT46" s="115">
        <f t="shared" si="24"/>
        <v>3.6020415823041105</v>
      </c>
      <c r="AU46" s="115">
        <f t="shared" si="24"/>
        <v>3.554722165974141</v>
      </c>
      <c r="AV46" s="115">
        <f t="shared" si="24"/>
        <v>3.6792873611379662</v>
      </c>
    </row>
    <row r="47" spans="1:48">
      <c r="A47" s="4" t="s">
        <v>16</v>
      </c>
      <c r="B47" s="174"/>
      <c r="C47" s="174"/>
      <c r="E47" s="98"/>
      <c r="F47" s="98"/>
      <c r="G47" s="98"/>
      <c r="H47" s="98"/>
      <c r="I47" s="200"/>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row>
    <row r="48" spans="1:48">
      <c r="A48" s="4" t="s">
        <v>16</v>
      </c>
      <c r="B48" s="198" t="s">
        <v>237</v>
      </c>
      <c r="C48" s="174"/>
      <c r="E48" s="98"/>
      <c r="F48" s="98"/>
      <c r="G48" s="98"/>
      <c r="H48" s="98"/>
      <c r="I48" s="200"/>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row>
    <row r="49" spans="1:48">
      <c r="A49" s="4" t="s">
        <v>16</v>
      </c>
      <c r="B49" s="198" t="str">
        <f>B43</f>
        <v>A</v>
      </c>
      <c r="C49" s="174"/>
      <c r="E49" s="98"/>
      <c r="F49" s="98"/>
      <c r="G49" s="98"/>
      <c r="H49" s="98"/>
      <c r="I49" s="200" t="str">
        <f>B43</f>
        <v>A</v>
      </c>
      <c r="J49" s="115">
        <f>J36</f>
        <v>0</v>
      </c>
      <c r="K49" s="115">
        <f t="shared" ref="K49:AV52" si="25">J49+K43</f>
        <v>0</v>
      </c>
      <c r="L49" s="115">
        <f t="shared" si="25"/>
        <v>0</v>
      </c>
      <c r="M49" s="115">
        <f t="shared" si="25"/>
        <v>0</v>
      </c>
      <c r="N49" s="115">
        <f t="shared" si="25"/>
        <v>0</v>
      </c>
      <c r="O49" s="115">
        <f t="shared" si="25"/>
        <v>0</v>
      </c>
      <c r="P49" s="115">
        <f t="shared" si="25"/>
        <v>0</v>
      </c>
      <c r="Q49" s="115">
        <f t="shared" si="25"/>
        <v>0</v>
      </c>
      <c r="R49" s="115">
        <f t="shared" si="25"/>
        <v>0</v>
      </c>
      <c r="S49" s="115">
        <f t="shared" si="25"/>
        <v>0</v>
      </c>
      <c r="T49" s="115">
        <f t="shared" si="25"/>
        <v>0</v>
      </c>
      <c r="U49" s="115">
        <f t="shared" si="25"/>
        <v>0</v>
      </c>
      <c r="V49" s="115">
        <f t="shared" si="25"/>
        <v>0</v>
      </c>
      <c r="W49" s="115">
        <f t="shared" si="25"/>
        <v>0</v>
      </c>
      <c r="X49" s="115">
        <f t="shared" si="25"/>
        <v>0</v>
      </c>
      <c r="Y49" s="115">
        <f t="shared" si="25"/>
        <v>0</v>
      </c>
      <c r="Z49" s="115">
        <f t="shared" si="25"/>
        <v>0</v>
      </c>
      <c r="AA49" s="115">
        <f t="shared" si="25"/>
        <v>0</v>
      </c>
      <c r="AB49" s="115">
        <f t="shared" si="25"/>
        <v>0</v>
      </c>
      <c r="AC49" s="115">
        <f t="shared" si="25"/>
        <v>0</v>
      </c>
      <c r="AD49" s="115">
        <f t="shared" si="25"/>
        <v>0</v>
      </c>
      <c r="AE49" s="115">
        <f t="shared" si="25"/>
        <v>0</v>
      </c>
      <c r="AF49" s="115">
        <f t="shared" si="25"/>
        <v>0</v>
      </c>
      <c r="AG49" s="115">
        <f t="shared" si="25"/>
        <v>0</v>
      </c>
      <c r="AH49" s="115">
        <f t="shared" si="25"/>
        <v>0</v>
      </c>
      <c r="AI49" s="115">
        <f t="shared" si="25"/>
        <v>0</v>
      </c>
      <c r="AJ49" s="115">
        <f t="shared" si="25"/>
        <v>0</v>
      </c>
      <c r="AK49" s="115">
        <f t="shared" si="25"/>
        <v>0</v>
      </c>
      <c r="AL49" s="115">
        <f t="shared" si="25"/>
        <v>0</v>
      </c>
      <c r="AM49" s="115">
        <f t="shared" si="25"/>
        <v>0</v>
      </c>
      <c r="AN49" s="115">
        <f t="shared" si="25"/>
        <v>0</v>
      </c>
      <c r="AO49" s="115">
        <f t="shared" si="25"/>
        <v>0</v>
      </c>
      <c r="AP49" s="115">
        <f t="shared" si="25"/>
        <v>0</v>
      </c>
      <c r="AQ49" s="115">
        <f t="shared" si="25"/>
        <v>0</v>
      </c>
      <c r="AR49" s="115">
        <f t="shared" si="25"/>
        <v>0</v>
      </c>
      <c r="AS49" s="115">
        <f t="shared" si="25"/>
        <v>0</v>
      </c>
      <c r="AT49" s="115">
        <f t="shared" si="25"/>
        <v>0</v>
      </c>
      <c r="AU49" s="115">
        <f t="shared" si="25"/>
        <v>0</v>
      </c>
      <c r="AV49" s="115">
        <f t="shared" si="25"/>
        <v>0</v>
      </c>
    </row>
    <row r="50" spans="1:48">
      <c r="A50" s="4" t="s">
        <v>16</v>
      </c>
      <c r="B50" s="198" t="str">
        <f>B44</f>
        <v>B</v>
      </c>
      <c r="C50" s="174"/>
      <c r="E50" s="98"/>
      <c r="F50" s="98"/>
      <c r="G50" s="98"/>
      <c r="H50" s="98"/>
      <c r="I50" s="200" t="str">
        <f>B44</f>
        <v>B</v>
      </c>
      <c r="J50" s="115">
        <v>0</v>
      </c>
      <c r="K50" s="115">
        <f t="shared" si="25"/>
        <v>0</v>
      </c>
      <c r="L50" s="115">
        <f t="shared" si="25"/>
        <v>0</v>
      </c>
      <c r="M50" s="115">
        <f t="shared" si="25"/>
        <v>0</v>
      </c>
      <c r="N50" s="115">
        <f t="shared" si="25"/>
        <v>0</v>
      </c>
      <c r="O50" s="115">
        <f t="shared" si="25"/>
        <v>0</v>
      </c>
      <c r="P50" s="115">
        <f t="shared" si="25"/>
        <v>1.8300629745317494</v>
      </c>
      <c r="Q50" s="115">
        <f t="shared" si="25"/>
        <v>3.7845352455565084</v>
      </c>
      <c r="R50" s="115">
        <f t="shared" si="25"/>
        <v>4.8972658577883088</v>
      </c>
      <c r="S50" s="115">
        <f t="shared" si="25"/>
        <v>7.1739801937789451</v>
      </c>
      <c r="T50" s="115">
        <f t="shared" si="25"/>
        <v>9.4217756264642922</v>
      </c>
      <c r="U50" s="115">
        <f t="shared" si="25"/>
        <v>11.651609930900069</v>
      </c>
      <c r="V50" s="115">
        <f t="shared" si="25"/>
        <v>13.847239407369514</v>
      </c>
      <c r="W50" s="115">
        <f t="shared" si="25"/>
        <v>16.07272794248329</v>
      </c>
      <c r="X50" s="115">
        <f t="shared" si="25"/>
        <v>18.477419382150376</v>
      </c>
      <c r="Y50" s="115">
        <f t="shared" si="25"/>
        <v>20.853434005163518</v>
      </c>
      <c r="Z50" s="115">
        <f t="shared" si="25"/>
        <v>23.272207435330227</v>
      </c>
      <c r="AA50" s="115">
        <f t="shared" si="25"/>
        <v>25.7178529485784</v>
      </c>
      <c r="AB50" s="115">
        <f t="shared" si="25"/>
        <v>28.186694825727532</v>
      </c>
      <c r="AC50" s="115">
        <f t="shared" si="25"/>
        <v>28.186694825727532</v>
      </c>
      <c r="AD50" s="115">
        <f t="shared" si="25"/>
        <v>28.186694825727532</v>
      </c>
      <c r="AE50" s="115">
        <f t="shared" si="25"/>
        <v>28.186694825727532</v>
      </c>
      <c r="AF50" s="115">
        <f t="shared" si="25"/>
        <v>28.186694825727532</v>
      </c>
      <c r="AG50" s="115">
        <f t="shared" si="25"/>
        <v>28.186694825727532</v>
      </c>
      <c r="AH50" s="115">
        <f t="shared" si="25"/>
        <v>28.186694825727532</v>
      </c>
      <c r="AI50" s="115">
        <f t="shared" si="25"/>
        <v>28.186694825727532</v>
      </c>
      <c r="AJ50" s="115">
        <f t="shared" si="25"/>
        <v>28.186694825727532</v>
      </c>
      <c r="AK50" s="115">
        <f t="shared" si="25"/>
        <v>28.186694825727532</v>
      </c>
      <c r="AL50" s="115">
        <f t="shared" si="25"/>
        <v>28.186694825727532</v>
      </c>
      <c r="AM50" s="115">
        <f t="shared" si="25"/>
        <v>28.186694825727532</v>
      </c>
      <c r="AN50" s="115">
        <f t="shared" si="25"/>
        <v>28.186694825727532</v>
      </c>
      <c r="AO50" s="115">
        <f t="shared" si="25"/>
        <v>28.186694825727532</v>
      </c>
      <c r="AP50" s="115">
        <f t="shared" si="25"/>
        <v>28.186694825727532</v>
      </c>
      <c r="AQ50" s="115">
        <f t="shared" si="25"/>
        <v>28.186694825727532</v>
      </c>
      <c r="AR50" s="115">
        <f t="shared" si="25"/>
        <v>28.186694825727532</v>
      </c>
      <c r="AS50" s="115">
        <f t="shared" si="25"/>
        <v>28.186694825727532</v>
      </c>
      <c r="AT50" s="115">
        <f t="shared" si="25"/>
        <v>28.186694825727532</v>
      </c>
      <c r="AU50" s="115">
        <f t="shared" si="25"/>
        <v>28.186694825727532</v>
      </c>
      <c r="AV50" s="115">
        <f t="shared" si="25"/>
        <v>28.186694825727532</v>
      </c>
    </row>
    <row r="51" spans="1:48">
      <c r="A51" s="4" t="s">
        <v>16</v>
      </c>
      <c r="B51" s="198" t="str">
        <f>B45</f>
        <v>C</v>
      </c>
      <c r="C51" s="174"/>
      <c r="E51" s="98"/>
      <c r="F51" s="98"/>
      <c r="G51" s="98"/>
      <c r="H51" s="98"/>
      <c r="I51" s="200" t="str">
        <f>B45</f>
        <v>C</v>
      </c>
      <c r="J51" s="115">
        <v>0</v>
      </c>
      <c r="K51" s="115">
        <f t="shared" si="25"/>
        <v>0</v>
      </c>
      <c r="L51" s="115">
        <f t="shared" si="25"/>
        <v>0</v>
      </c>
      <c r="M51" s="115">
        <f t="shared" si="25"/>
        <v>0</v>
      </c>
      <c r="N51" s="115">
        <f t="shared" si="25"/>
        <v>0</v>
      </c>
      <c r="O51" s="115">
        <f t="shared" si="25"/>
        <v>0</v>
      </c>
      <c r="P51" s="115">
        <f t="shared" si="25"/>
        <v>0</v>
      </c>
      <c r="Q51" s="115">
        <f t="shared" si="25"/>
        <v>0</v>
      </c>
      <c r="R51" s="115">
        <f t="shared" si="25"/>
        <v>0</v>
      </c>
      <c r="S51" s="115">
        <f t="shared" si="25"/>
        <v>0</v>
      </c>
      <c r="T51" s="115">
        <f t="shared" si="25"/>
        <v>0</v>
      </c>
      <c r="U51" s="115">
        <f t="shared" si="25"/>
        <v>0</v>
      </c>
      <c r="V51" s="115">
        <f t="shared" si="25"/>
        <v>0</v>
      </c>
      <c r="W51" s="115">
        <f t="shared" si="25"/>
        <v>0</v>
      </c>
      <c r="X51" s="115">
        <f t="shared" si="25"/>
        <v>0</v>
      </c>
      <c r="Y51" s="115">
        <f t="shared" si="25"/>
        <v>0</v>
      </c>
      <c r="Z51" s="115">
        <f t="shared" si="25"/>
        <v>0</v>
      </c>
      <c r="AA51" s="115">
        <f t="shared" si="25"/>
        <v>0</v>
      </c>
      <c r="AB51" s="115">
        <f t="shared" si="25"/>
        <v>0</v>
      </c>
      <c r="AC51" s="115">
        <f t="shared" si="25"/>
        <v>2.6705955667718371</v>
      </c>
      <c r="AD51" s="115">
        <f t="shared" si="25"/>
        <v>5.294373207953587</v>
      </c>
      <c r="AE51" s="115">
        <f t="shared" si="25"/>
        <v>8.0361634469374899</v>
      </c>
      <c r="AF51" s="115">
        <f t="shared" si="25"/>
        <v>10.869252086750908</v>
      </c>
      <c r="AG51" s="115">
        <f t="shared" si="25"/>
        <v>13.78382234368144</v>
      </c>
      <c r="AH51" s="115">
        <f t="shared" si="25"/>
        <v>16.751984166996497</v>
      </c>
      <c r="AI51" s="115">
        <f t="shared" si="25"/>
        <v>19.764263898329677</v>
      </c>
      <c r="AJ51" s="115">
        <f t="shared" si="25"/>
        <v>22.77828977703685</v>
      </c>
      <c r="AK51" s="115">
        <f t="shared" si="25"/>
        <v>25.838657946208269</v>
      </c>
      <c r="AL51" s="115">
        <f t="shared" si="25"/>
        <v>28.984564843629027</v>
      </c>
      <c r="AM51" s="115">
        <f t="shared" si="25"/>
        <v>28.984564843629027</v>
      </c>
      <c r="AN51" s="115">
        <f t="shared" si="25"/>
        <v>28.984564843629027</v>
      </c>
      <c r="AO51" s="115">
        <f t="shared" si="25"/>
        <v>28.984564843629027</v>
      </c>
      <c r="AP51" s="115">
        <f t="shared" si="25"/>
        <v>28.984564843629027</v>
      </c>
      <c r="AQ51" s="115">
        <f t="shared" si="25"/>
        <v>28.984564843629027</v>
      </c>
      <c r="AR51" s="115">
        <f t="shared" si="25"/>
        <v>28.984564843629027</v>
      </c>
      <c r="AS51" s="115">
        <f t="shared" si="25"/>
        <v>28.984564843629027</v>
      </c>
      <c r="AT51" s="115">
        <f t="shared" si="25"/>
        <v>28.984564843629027</v>
      </c>
      <c r="AU51" s="115">
        <f t="shared" si="25"/>
        <v>28.984564843629027</v>
      </c>
      <c r="AV51" s="115">
        <f t="shared" si="25"/>
        <v>28.984564843629027</v>
      </c>
    </row>
    <row r="52" spans="1:48">
      <c r="A52" s="4" t="s">
        <v>16</v>
      </c>
      <c r="B52" s="198" t="str">
        <f>B46</f>
        <v>D</v>
      </c>
      <c r="C52" s="174"/>
      <c r="E52" s="98"/>
      <c r="F52" s="98"/>
      <c r="G52" s="98"/>
      <c r="H52" s="98"/>
      <c r="I52" s="200" t="str">
        <f>B46</f>
        <v>D</v>
      </c>
      <c r="J52" s="115">
        <v>0</v>
      </c>
      <c r="K52" s="115">
        <f t="shared" si="25"/>
        <v>0</v>
      </c>
      <c r="L52" s="115">
        <f t="shared" si="25"/>
        <v>0</v>
      </c>
      <c r="M52" s="115">
        <f t="shared" si="25"/>
        <v>0</v>
      </c>
      <c r="N52" s="115">
        <f t="shared" si="25"/>
        <v>0</v>
      </c>
      <c r="O52" s="115">
        <f t="shared" si="25"/>
        <v>0</v>
      </c>
      <c r="P52" s="115">
        <f t="shared" si="25"/>
        <v>0</v>
      </c>
      <c r="Q52" s="115">
        <f t="shared" si="25"/>
        <v>0</v>
      </c>
      <c r="R52" s="115">
        <f t="shared" si="25"/>
        <v>0</v>
      </c>
      <c r="S52" s="115">
        <f t="shared" si="25"/>
        <v>0</v>
      </c>
      <c r="T52" s="115">
        <f t="shared" si="25"/>
        <v>0</v>
      </c>
      <c r="U52" s="115">
        <f t="shared" si="25"/>
        <v>0</v>
      </c>
      <c r="V52" s="115">
        <f t="shared" si="25"/>
        <v>0</v>
      </c>
      <c r="W52" s="115">
        <f t="shared" si="25"/>
        <v>0</v>
      </c>
      <c r="X52" s="115">
        <f t="shared" si="25"/>
        <v>0</v>
      </c>
      <c r="Y52" s="115">
        <f t="shared" si="25"/>
        <v>0</v>
      </c>
      <c r="Z52" s="115">
        <f t="shared" si="25"/>
        <v>0</v>
      </c>
      <c r="AA52" s="115">
        <f t="shared" si="25"/>
        <v>0</v>
      </c>
      <c r="AB52" s="115">
        <f t="shared" si="25"/>
        <v>0</v>
      </c>
      <c r="AC52" s="115">
        <f t="shared" si="25"/>
        <v>0</v>
      </c>
      <c r="AD52" s="115">
        <f t="shared" si="25"/>
        <v>0</v>
      </c>
      <c r="AE52" s="115">
        <f t="shared" si="25"/>
        <v>0</v>
      </c>
      <c r="AF52" s="115">
        <f t="shared" si="25"/>
        <v>0</v>
      </c>
      <c r="AG52" s="115">
        <f t="shared" si="25"/>
        <v>0</v>
      </c>
      <c r="AH52" s="115">
        <f t="shared" si="25"/>
        <v>0</v>
      </c>
      <c r="AI52" s="115">
        <f t="shared" si="25"/>
        <v>0</v>
      </c>
      <c r="AJ52" s="115">
        <f t="shared" si="25"/>
        <v>0</v>
      </c>
      <c r="AK52" s="115">
        <f t="shared" si="25"/>
        <v>0</v>
      </c>
      <c r="AL52" s="115">
        <f t="shared" si="25"/>
        <v>0</v>
      </c>
      <c r="AM52" s="115">
        <f t="shared" si="25"/>
        <v>3.3823221444827354</v>
      </c>
      <c r="AN52" s="115">
        <f t="shared" si="25"/>
        <v>6.7209075620425196</v>
      </c>
      <c r="AO52" s="115">
        <f t="shared" si="25"/>
        <v>10.018033934151433</v>
      </c>
      <c r="AP52" s="115">
        <f t="shared" si="25"/>
        <v>13.275790442122599</v>
      </c>
      <c r="AQ52" s="115">
        <f t="shared" si="25"/>
        <v>16.496098788315933</v>
      </c>
      <c r="AR52" s="115">
        <f t="shared" si="25"/>
        <v>20.201001463203923</v>
      </c>
      <c r="AS52" s="115">
        <f t="shared" si="25"/>
        <v>23.853018544635475</v>
      </c>
      <c r="AT52" s="115">
        <f t="shared" si="25"/>
        <v>27.455060126939586</v>
      </c>
      <c r="AU52" s="115">
        <f t="shared" si="25"/>
        <v>31.009782292913727</v>
      </c>
      <c r="AV52" s="115">
        <f t="shared" si="25"/>
        <v>34.689069654051693</v>
      </c>
    </row>
    <row r="53" spans="1:48">
      <c r="A53" s="4" t="s">
        <v>16</v>
      </c>
      <c r="B53" s="174" t="s">
        <v>238</v>
      </c>
      <c r="C53" s="174"/>
      <c r="E53" s="98"/>
      <c r="F53" s="98"/>
      <c r="G53" s="98"/>
      <c r="H53" s="98"/>
      <c r="I53" s="200"/>
      <c r="J53" s="115">
        <f t="shared" ref="J53:AV53" si="26">SUM(J49:J52)</f>
        <v>0</v>
      </c>
      <c r="K53" s="115">
        <f t="shared" si="26"/>
        <v>0</v>
      </c>
      <c r="L53" s="115">
        <f t="shared" si="26"/>
        <v>0</v>
      </c>
      <c r="M53" s="115">
        <f t="shared" si="26"/>
        <v>0</v>
      </c>
      <c r="N53" s="115">
        <f t="shared" si="26"/>
        <v>0</v>
      </c>
      <c r="O53" s="115">
        <f t="shared" si="26"/>
        <v>0</v>
      </c>
      <c r="P53" s="115">
        <f t="shared" si="26"/>
        <v>1.8300629745317494</v>
      </c>
      <c r="Q53" s="115">
        <f t="shared" si="26"/>
        <v>3.7845352455565084</v>
      </c>
      <c r="R53" s="115">
        <f t="shared" si="26"/>
        <v>4.8972658577883088</v>
      </c>
      <c r="S53" s="115">
        <f t="shared" si="26"/>
        <v>7.1739801937789451</v>
      </c>
      <c r="T53" s="115">
        <f t="shared" si="26"/>
        <v>9.4217756264642922</v>
      </c>
      <c r="U53" s="115">
        <f t="shared" si="26"/>
        <v>11.651609930900069</v>
      </c>
      <c r="V53" s="115">
        <f t="shared" si="26"/>
        <v>13.847239407369514</v>
      </c>
      <c r="W53" s="115">
        <f t="shared" si="26"/>
        <v>16.07272794248329</v>
      </c>
      <c r="X53" s="115">
        <f t="shared" si="26"/>
        <v>18.477419382150376</v>
      </c>
      <c r="Y53" s="115">
        <f t="shared" si="26"/>
        <v>20.853434005163518</v>
      </c>
      <c r="Z53" s="115">
        <f t="shared" si="26"/>
        <v>23.272207435330227</v>
      </c>
      <c r="AA53" s="115">
        <f t="shared" si="26"/>
        <v>25.7178529485784</v>
      </c>
      <c r="AB53" s="115">
        <f t="shared" si="26"/>
        <v>28.186694825727532</v>
      </c>
      <c r="AC53" s="115">
        <f t="shared" si="26"/>
        <v>30.857290392499369</v>
      </c>
      <c r="AD53" s="115">
        <f t="shared" si="26"/>
        <v>33.481068033681119</v>
      </c>
      <c r="AE53" s="115">
        <f t="shared" si="26"/>
        <v>36.222858272665022</v>
      </c>
      <c r="AF53" s="115">
        <f t="shared" si="26"/>
        <v>39.05594691247844</v>
      </c>
      <c r="AG53" s="115">
        <f t="shared" si="26"/>
        <v>41.970517169408971</v>
      </c>
      <c r="AH53" s="115">
        <f t="shared" si="26"/>
        <v>44.938678992724029</v>
      </c>
      <c r="AI53" s="115">
        <f t="shared" si="26"/>
        <v>47.950958724057209</v>
      </c>
      <c r="AJ53" s="115">
        <f t="shared" si="26"/>
        <v>50.964984602764382</v>
      </c>
      <c r="AK53" s="115">
        <f t="shared" si="26"/>
        <v>54.0253527719358</v>
      </c>
      <c r="AL53" s="115">
        <f t="shared" si="26"/>
        <v>57.171259669356559</v>
      </c>
      <c r="AM53" s="115">
        <f t="shared" si="26"/>
        <v>60.553581813839294</v>
      </c>
      <c r="AN53" s="115">
        <f t="shared" si="26"/>
        <v>63.892167231399078</v>
      </c>
      <c r="AO53" s="115">
        <f t="shared" si="26"/>
        <v>67.189293603507991</v>
      </c>
      <c r="AP53" s="115">
        <f t="shared" si="26"/>
        <v>70.447050111479157</v>
      </c>
      <c r="AQ53" s="115">
        <f t="shared" si="26"/>
        <v>73.667358457672492</v>
      </c>
      <c r="AR53" s="115">
        <f t="shared" si="26"/>
        <v>77.372261132560482</v>
      </c>
      <c r="AS53" s="115">
        <f t="shared" si="26"/>
        <v>81.024278213992034</v>
      </c>
      <c r="AT53" s="115">
        <f t="shared" si="26"/>
        <v>84.626319796296144</v>
      </c>
      <c r="AU53" s="115">
        <f t="shared" si="26"/>
        <v>88.181041962270285</v>
      </c>
      <c r="AV53" s="115">
        <f t="shared" si="26"/>
        <v>91.860329323408251</v>
      </c>
    </row>
    <row r="54" spans="1:48">
      <c r="A54" s="4" t="s">
        <v>16</v>
      </c>
      <c r="B54" s="174"/>
      <c r="I54" s="179"/>
      <c r="J54" s="115"/>
      <c r="K54" s="118"/>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c r="AP54" s="118"/>
      <c r="AQ54" s="118"/>
      <c r="AR54" s="118"/>
      <c r="AS54" s="118"/>
      <c r="AT54" s="118"/>
      <c r="AU54" s="118"/>
      <c r="AV54" s="115"/>
    </row>
    <row r="55" spans="1:48" ht="15.75" thickBot="1">
      <c r="A55" s="4" t="s">
        <v>16</v>
      </c>
      <c r="B55" s="94" t="s">
        <v>14</v>
      </c>
      <c r="C55" s="94" t="s">
        <v>510</v>
      </c>
      <c r="D55" s="94" t="s">
        <v>508</v>
      </c>
      <c r="E55" s="94">
        <v>2017</v>
      </c>
      <c r="F55" s="94" t="s">
        <v>509</v>
      </c>
      <c r="G55" s="96">
        <v>2017</v>
      </c>
      <c r="I55" s="179"/>
      <c r="J55" s="118"/>
      <c r="K55" s="96"/>
    </row>
    <row r="56" spans="1:48">
      <c r="A56" s="4" t="s">
        <v>16</v>
      </c>
      <c r="B56" s="98" t="s">
        <v>72</v>
      </c>
      <c r="C56" s="98" t="s">
        <v>112</v>
      </c>
      <c r="D56" s="116">
        <f t="shared" ref="D56:E64" si="27">F56*1000</f>
        <v>139664.39435388436</v>
      </c>
      <c r="E56" s="116">
        <f t="shared" si="27"/>
        <v>120283.34032399778</v>
      </c>
      <c r="F56" s="24">
        <f>'[7]TS BYDem'!$J10</f>
        <v>139.66439435388435</v>
      </c>
      <c r="G56" s="96">
        <f>'[7]TS BYDem'!$O10</f>
        <v>120.28334032399778</v>
      </c>
      <c r="J56" s="95"/>
      <c r="K56" s="217" t="s">
        <v>534</v>
      </c>
      <c r="L56" s="100"/>
      <c r="M56" s="100" t="s">
        <v>450</v>
      </c>
      <c r="N56" s="100"/>
      <c r="O56" s="100"/>
    </row>
    <row r="57" spans="1:48">
      <c r="A57" s="4" t="s">
        <v>16</v>
      </c>
      <c r="B57" s="98" t="s">
        <v>262</v>
      </c>
      <c r="C57" s="98" t="s">
        <v>113</v>
      </c>
      <c r="D57" s="116">
        <f t="shared" si="27"/>
        <v>7851.7549075018987</v>
      </c>
      <c r="E57" s="116">
        <f t="shared" si="27"/>
        <v>11470.981711368382</v>
      </c>
      <c r="F57" s="24">
        <f>'[7]TS BYDem'!$J11</f>
        <v>7.8517549075018991</v>
      </c>
      <c r="G57" s="96">
        <f>'[7]TS BYDem'!$O11</f>
        <v>11.470981711368381</v>
      </c>
      <c r="J57" s="95"/>
      <c r="K57" s="217" t="s">
        <v>537</v>
      </c>
      <c r="L57" s="100">
        <f>DriversGams!$B$162</f>
        <v>2</v>
      </c>
      <c r="M57" s="100"/>
      <c r="N57" s="100"/>
      <c r="O57" s="100"/>
      <c r="R57" s="96" t="s">
        <v>655</v>
      </c>
    </row>
    <row r="58" spans="1:48">
      <c r="A58" s="4" t="s">
        <v>16</v>
      </c>
      <c r="B58" s="98" t="s">
        <v>263</v>
      </c>
      <c r="C58" s="98" t="s">
        <v>107</v>
      </c>
      <c r="D58" s="116">
        <f t="shared" si="27"/>
        <v>9894.4997565297635</v>
      </c>
      <c r="E58" s="116">
        <f t="shared" si="27"/>
        <v>8579.7067698540795</v>
      </c>
      <c r="F58" s="24">
        <f>'[7]TS BYDem'!$J12</f>
        <v>9.894499756529763</v>
      </c>
      <c r="G58" s="96">
        <f>'[7]TS BYDem'!$O12</f>
        <v>8.579706769854079</v>
      </c>
      <c r="J58" s="95"/>
      <c r="K58" s="217" t="s">
        <v>535</v>
      </c>
      <c r="L58" s="100"/>
      <c r="M58" s="100"/>
      <c r="N58" s="100"/>
      <c r="O58" s="100"/>
    </row>
    <row r="59" spans="1:48">
      <c r="A59" s="4" t="s">
        <v>16</v>
      </c>
      <c r="B59" s="98" t="s">
        <v>73</v>
      </c>
      <c r="C59" s="98" t="s">
        <v>111</v>
      </c>
      <c r="D59" s="116">
        <f t="shared" si="27"/>
        <v>121540.2719056889</v>
      </c>
      <c r="E59" s="116">
        <f t="shared" si="27"/>
        <v>104674.27977141128</v>
      </c>
      <c r="F59" s="24">
        <f>'[7]TS BYDem'!$J13</f>
        <v>121.5402719056889</v>
      </c>
      <c r="G59" s="96">
        <f>'[7]TS BYDem'!$O13</f>
        <v>104.67427977141128</v>
      </c>
      <c r="J59" s="95"/>
      <c r="K59" s="100">
        <v>-1</v>
      </c>
      <c r="L59" s="217" t="s">
        <v>536</v>
      </c>
      <c r="M59" s="100"/>
      <c r="N59" s="100"/>
      <c r="O59" s="100"/>
      <c r="AC59" s="96" t="s">
        <v>658</v>
      </c>
    </row>
    <row r="60" spans="1:48">
      <c r="A60" s="4" t="s">
        <v>16</v>
      </c>
      <c r="B60" s="98" t="s">
        <v>264</v>
      </c>
      <c r="C60" s="98" t="s">
        <v>124</v>
      </c>
      <c r="D60" s="116">
        <f t="shared" si="27"/>
        <v>29566.39037374705</v>
      </c>
      <c r="E60" s="116">
        <f t="shared" si="27"/>
        <v>25463.499211305458</v>
      </c>
      <c r="F60" s="24">
        <f>'[7]TS BYDem'!$J14</f>
        <v>29.566390373747051</v>
      </c>
      <c r="G60" s="96">
        <f>'[7]TS BYDem'!$O14</f>
        <v>25.463499211305457</v>
      </c>
      <c r="J60" s="95"/>
      <c r="K60" s="100">
        <v>1</v>
      </c>
      <c r="L60" s="100" t="s">
        <v>653</v>
      </c>
      <c r="M60" s="218">
        <v>-0.37</v>
      </c>
      <c r="N60" s="218">
        <v>-0.5</v>
      </c>
      <c r="O60" s="218">
        <v>-0.2</v>
      </c>
      <c r="Q60" s="96" t="s">
        <v>659</v>
      </c>
      <c r="AA60" s="98" t="s">
        <v>656</v>
      </c>
      <c r="AB60" s="98">
        <f>AB30/(AB30+AB31)</f>
        <v>0.77449608280841165</v>
      </c>
      <c r="AC60" s="98" t="s">
        <v>657</v>
      </c>
      <c r="AD60" s="98"/>
      <c r="AE60" s="98"/>
      <c r="AF60" s="98"/>
      <c r="AG60" s="98">
        <f>(AB30*0.8+AB31*0.46)/(AB30+AB31)</f>
        <v>0.72332866815485997</v>
      </c>
    </row>
    <row r="61" spans="1:48">
      <c r="A61" s="4" t="s">
        <v>16</v>
      </c>
      <c r="B61" s="98" t="s">
        <v>265</v>
      </c>
      <c r="C61" s="98" t="s">
        <v>266</v>
      </c>
      <c r="D61" s="116">
        <f t="shared" si="27"/>
        <v>9683.1090230750324</v>
      </c>
      <c r="E61" s="116">
        <f t="shared" si="27"/>
        <v>13273.861719969342</v>
      </c>
      <c r="F61" s="24">
        <f>'[7]TS BYDem'!$J15</f>
        <v>9.6831090230750316</v>
      </c>
      <c r="G61" s="96">
        <f>'[7]TS BYDem'!$O15</f>
        <v>13.273861719969341</v>
      </c>
      <c r="J61" s="95"/>
      <c r="K61" s="100">
        <v>2</v>
      </c>
      <c r="L61" s="100" t="s">
        <v>654</v>
      </c>
      <c r="M61" s="218">
        <v>-0.25</v>
      </c>
      <c r="N61" s="218">
        <v>-0.25</v>
      </c>
      <c r="O61" s="218">
        <v>-0.2</v>
      </c>
      <c r="Q61" s="96" t="s">
        <v>660</v>
      </c>
    </row>
    <row r="62" spans="1:48">
      <c r="A62" s="4" t="s">
        <v>16</v>
      </c>
      <c r="B62" s="128" t="s">
        <v>269</v>
      </c>
      <c r="C62" s="128" t="s">
        <v>270</v>
      </c>
      <c r="D62" s="116">
        <f t="shared" si="27"/>
        <v>10300.552873773209</v>
      </c>
      <c r="E62" s="116">
        <f t="shared" si="27"/>
        <v>8871.1579824850141</v>
      </c>
      <c r="F62" s="24">
        <f>'[7]TS BYDem'!$J16</f>
        <v>10.30055287377321</v>
      </c>
      <c r="G62" s="96">
        <f>'[7]TS BYDem'!$O16</f>
        <v>8.8711579824850144</v>
      </c>
      <c r="J62" s="95"/>
      <c r="K62" s="112">
        <v>3</v>
      </c>
      <c r="L62" s="217" t="s">
        <v>653</v>
      </c>
      <c r="M62" s="218">
        <v>-0.37</v>
      </c>
      <c r="N62" s="218">
        <v>-0.5</v>
      </c>
      <c r="O62" s="218">
        <v>-0.2</v>
      </c>
    </row>
    <row r="63" spans="1:48">
      <c r="A63" s="4" t="s">
        <v>16</v>
      </c>
      <c r="B63" s="128" t="s">
        <v>268</v>
      </c>
      <c r="C63" s="128" t="s">
        <v>221</v>
      </c>
      <c r="D63" s="116">
        <f t="shared" si="27"/>
        <v>3559.3512487513526</v>
      </c>
      <c r="E63" s="116">
        <f t="shared" si="27"/>
        <v>3065.4245097100388</v>
      </c>
      <c r="F63" s="24">
        <f>'[7]TS BYDem'!$J17</f>
        <v>3.5593512487513528</v>
      </c>
      <c r="G63" s="96">
        <f>'[7]TS BYDem'!$O17</f>
        <v>3.0654245097100388</v>
      </c>
      <c r="J63" s="95"/>
      <c r="K63" s="100">
        <v>4</v>
      </c>
      <c r="L63" s="217" t="s">
        <v>651</v>
      </c>
      <c r="M63" s="218">
        <v>-0.25</v>
      </c>
      <c r="N63" s="100"/>
      <c r="O63" s="100"/>
    </row>
    <row r="64" spans="1:48">
      <c r="A64" s="4" t="s">
        <v>16</v>
      </c>
      <c r="B64" s="128" t="s">
        <v>0</v>
      </c>
      <c r="C64" s="128" t="s">
        <v>119</v>
      </c>
      <c r="D64" s="116">
        <f t="shared" si="27"/>
        <v>18760.184357078931</v>
      </c>
      <c r="E64" s="116">
        <f t="shared" si="27"/>
        <v>16999.241745794043</v>
      </c>
      <c r="F64" s="24">
        <f>'[7]TS BYDem'!$J18</f>
        <v>18.760184357078931</v>
      </c>
      <c r="G64" s="96">
        <f>'[7]TS BYDem'!$O18</f>
        <v>16.999241745794041</v>
      </c>
      <c r="J64" s="95"/>
      <c r="K64" s="217">
        <v>4</v>
      </c>
      <c r="L64" s="217" t="s">
        <v>652</v>
      </c>
      <c r="M64" s="100"/>
      <c r="N64" s="218">
        <v>-0.25</v>
      </c>
      <c r="O64" s="218">
        <v>-0.2</v>
      </c>
    </row>
    <row r="65" spans="1:48">
      <c r="A65" s="4" t="s">
        <v>16</v>
      </c>
      <c r="B65" s="98"/>
      <c r="C65" s="98"/>
      <c r="D65" s="98"/>
      <c r="J65" s="95"/>
      <c r="K65" s="297">
        <v>3</v>
      </c>
      <c r="L65" s="100" t="s">
        <v>653</v>
      </c>
      <c r="M65" s="218">
        <v>-0.37</v>
      </c>
      <c r="N65" s="218">
        <v>-0.5</v>
      </c>
      <c r="O65" s="218">
        <v>-0.2</v>
      </c>
    </row>
    <row r="66" spans="1:48">
      <c r="A66" s="4" t="s">
        <v>16</v>
      </c>
      <c r="B66" s="98"/>
      <c r="F66" s="264"/>
      <c r="I66" s="179"/>
      <c r="J66" s="118"/>
      <c r="K66" s="297">
        <v>2</v>
      </c>
      <c r="L66" s="100" t="s">
        <v>654</v>
      </c>
      <c r="M66" s="218">
        <v>-0.25</v>
      </c>
      <c r="N66" s="218">
        <v>-0.25</v>
      </c>
      <c r="O66" s="218">
        <v>-0.2</v>
      </c>
    </row>
    <row r="67" spans="1:48" ht="15.75" thickBot="1">
      <c r="A67" s="4" t="s">
        <v>16</v>
      </c>
      <c r="B67" s="176" t="s">
        <v>12</v>
      </c>
      <c r="C67" s="177"/>
      <c r="D67" s="94"/>
      <c r="E67" s="108">
        <v>2012</v>
      </c>
      <c r="F67" s="265">
        <v>2017</v>
      </c>
      <c r="G67" s="108">
        <f>G22</f>
        <v>2020</v>
      </c>
      <c r="H67" s="108">
        <f>H22</f>
        <v>2030</v>
      </c>
      <c r="I67" s="211">
        <f>I22</f>
        <v>2050</v>
      </c>
      <c r="J67" s="108">
        <f t="shared" ref="J67:AV67" si="28">J4</f>
        <v>2012</v>
      </c>
      <c r="K67" s="108">
        <f t="shared" si="28"/>
        <v>2013</v>
      </c>
      <c r="L67" s="108">
        <f t="shared" si="28"/>
        <v>2014</v>
      </c>
      <c r="M67" s="108">
        <f t="shared" si="28"/>
        <v>2015</v>
      </c>
      <c r="N67" s="108">
        <f t="shared" si="28"/>
        <v>2016</v>
      </c>
      <c r="O67" s="108">
        <f t="shared" si="28"/>
        <v>2017</v>
      </c>
      <c r="P67" s="108">
        <f t="shared" si="28"/>
        <v>2018</v>
      </c>
      <c r="Q67" s="108">
        <f t="shared" si="28"/>
        <v>2019</v>
      </c>
      <c r="R67" s="108">
        <f t="shared" si="28"/>
        <v>2020</v>
      </c>
      <c r="S67" s="108">
        <f t="shared" si="28"/>
        <v>2021</v>
      </c>
      <c r="T67" s="108">
        <f t="shared" si="28"/>
        <v>2022</v>
      </c>
      <c r="U67" s="108">
        <f t="shared" si="28"/>
        <v>2023</v>
      </c>
      <c r="V67" s="108">
        <f t="shared" si="28"/>
        <v>2024</v>
      </c>
      <c r="W67" s="108">
        <f t="shared" si="28"/>
        <v>2025</v>
      </c>
      <c r="X67" s="108">
        <f t="shared" si="28"/>
        <v>2026</v>
      </c>
      <c r="Y67" s="108">
        <f t="shared" si="28"/>
        <v>2027</v>
      </c>
      <c r="Z67" s="108">
        <f t="shared" si="28"/>
        <v>2028</v>
      </c>
      <c r="AA67" s="108">
        <f t="shared" si="28"/>
        <v>2029</v>
      </c>
      <c r="AB67" s="108">
        <f t="shared" si="28"/>
        <v>2030</v>
      </c>
      <c r="AC67" s="108">
        <f t="shared" si="28"/>
        <v>2031</v>
      </c>
      <c r="AD67" s="108">
        <f t="shared" si="28"/>
        <v>2032</v>
      </c>
      <c r="AE67" s="108">
        <f t="shared" si="28"/>
        <v>2033</v>
      </c>
      <c r="AF67" s="108">
        <f t="shared" si="28"/>
        <v>2034</v>
      </c>
      <c r="AG67" s="108">
        <f t="shared" si="28"/>
        <v>2035</v>
      </c>
      <c r="AH67" s="108">
        <f t="shared" si="28"/>
        <v>2036</v>
      </c>
      <c r="AI67" s="108">
        <f t="shared" si="28"/>
        <v>2037</v>
      </c>
      <c r="AJ67" s="108">
        <f t="shared" si="28"/>
        <v>2038</v>
      </c>
      <c r="AK67" s="108">
        <f t="shared" si="28"/>
        <v>2039</v>
      </c>
      <c r="AL67" s="108">
        <f t="shared" si="28"/>
        <v>2040</v>
      </c>
      <c r="AM67" s="108">
        <f t="shared" si="28"/>
        <v>2041</v>
      </c>
      <c r="AN67" s="108">
        <f t="shared" si="28"/>
        <v>2042</v>
      </c>
      <c r="AO67" s="108">
        <f t="shared" si="28"/>
        <v>2043</v>
      </c>
      <c r="AP67" s="108">
        <f t="shared" si="28"/>
        <v>2044</v>
      </c>
      <c r="AQ67" s="108">
        <f t="shared" si="28"/>
        <v>2045</v>
      </c>
      <c r="AR67" s="108">
        <f t="shared" si="28"/>
        <v>2046</v>
      </c>
      <c r="AS67" s="108">
        <f t="shared" si="28"/>
        <v>2047</v>
      </c>
      <c r="AT67" s="108">
        <f t="shared" si="28"/>
        <v>2048</v>
      </c>
      <c r="AU67" s="108">
        <f t="shared" si="28"/>
        <v>2049</v>
      </c>
      <c r="AV67" s="108">
        <f t="shared" si="28"/>
        <v>2050</v>
      </c>
    </row>
    <row r="68" spans="1:48">
      <c r="A68" s="4" t="s">
        <v>16</v>
      </c>
      <c r="B68" s="118"/>
      <c r="C68" s="118"/>
      <c r="D68" s="118"/>
      <c r="E68" s="118"/>
      <c r="F68" s="118"/>
      <c r="G68" s="118"/>
      <c r="H68" s="118"/>
      <c r="I68" s="179"/>
      <c r="J68" s="118"/>
      <c r="K68" s="118"/>
      <c r="L68" s="118"/>
      <c r="M68" s="118"/>
      <c r="N68" s="118"/>
      <c r="O68" s="118"/>
      <c r="P68" s="118"/>
      <c r="Q68" s="118"/>
      <c r="R68" s="118"/>
      <c r="S68" s="118"/>
      <c r="T68" s="118"/>
      <c r="U68" s="118"/>
      <c r="V68" s="118"/>
      <c r="W68" s="118"/>
      <c r="X68" s="118"/>
      <c r="Y68" s="118"/>
      <c r="Z68" s="118"/>
      <c r="AA68" s="118"/>
      <c r="AB68" s="118"/>
      <c r="AC68" s="118"/>
      <c r="AD68" s="118"/>
      <c r="AE68" s="118"/>
      <c r="AF68" s="118"/>
      <c r="AG68" s="118"/>
      <c r="AH68" s="118"/>
      <c r="AI68" s="118"/>
      <c r="AJ68" s="118"/>
      <c r="AK68" s="118"/>
      <c r="AL68" s="118"/>
      <c r="AM68" s="118"/>
      <c r="AN68" s="118"/>
      <c r="AO68" s="118"/>
      <c r="AP68" s="118"/>
      <c r="AQ68" s="118"/>
      <c r="AR68" s="118"/>
      <c r="AS68" s="118"/>
      <c r="AT68" s="118"/>
      <c r="AU68" s="118"/>
      <c r="AV68" s="118"/>
    </row>
    <row r="69" spans="1:48" ht="15.75" thickBot="1">
      <c r="A69" s="4" t="s">
        <v>16</v>
      </c>
      <c r="B69" s="117" t="s">
        <v>74</v>
      </c>
      <c r="C69" s="94"/>
      <c r="D69" s="94"/>
      <c r="E69" s="118"/>
      <c r="F69" s="118"/>
      <c r="G69" s="118"/>
      <c r="H69" s="239">
        <f>VLOOKUP($L$57,$K$59:$O$66,3)</f>
        <v>-0.25</v>
      </c>
      <c r="I69" s="209"/>
      <c r="J69" s="118"/>
      <c r="K69" s="96"/>
    </row>
    <row r="70" spans="1:48">
      <c r="A70" s="4" t="s">
        <v>16</v>
      </c>
      <c r="B70" s="174" t="s">
        <v>239</v>
      </c>
      <c r="C70" s="96" t="str">
        <f t="shared" ref="C70:C78" si="29">"Commercial"&amp;" - "&amp;B56</f>
        <v>Commercial - Cooling</v>
      </c>
      <c r="D70" s="96" t="s">
        <v>75</v>
      </c>
      <c r="E70" s="107">
        <f>$D56/J$23</f>
        <v>1051.567060091292</v>
      </c>
      <c r="F70" s="120">
        <f>E56/$O$23</f>
        <v>864.77958996918915</v>
      </c>
      <c r="G70" s="120">
        <f t="shared" ref="G70:I78" si="30">F70</f>
        <v>864.77958996918915</v>
      </c>
      <c r="H70" s="120">
        <f>G70*(1+$H$69)</f>
        <v>648.58469247689186</v>
      </c>
      <c r="I70" s="178">
        <f t="shared" si="30"/>
        <v>648.58469247689186</v>
      </c>
      <c r="J70" s="8">
        <f>IF(J$8=-1,K70,IF(J$8=99,I70,IF(J$8=0,INDEX($E70:$I70,0,J$6),(INDEX($E70:$I70,0,J$8+1)-INDEX($E70:$I70,0,J$8))/(INDEX($D$5:$H$5,0,J$8+1)-INDEX($D$5:$H$5,0,J$8))+I70)))</f>
        <v>1051.567060091292</v>
      </c>
      <c r="K70" s="8">
        <f>IF(K$8=-1,L70,IF(K$8=99,J70,IF(K$8=0,INDEX($E70:$I70,0,K$6),(INDEX($E70:$I70,0,K$8+1)-INDEX($E70:$I70,0,K$8))/(INDEX($D$5:$H$5,0,K$8+1)-INDEX($D$5:$H$5,0,K$8))+J70)))</f>
        <v>1014.2095660668714</v>
      </c>
      <c r="L70" s="8">
        <f t="shared" ref="L70:AV70" si="31">IF(L$8=-1,M70,IF(L$8=99,K70,IF(L$8=0,INDEX($E70:$I70,0,L$6),(INDEX($E70:$I70,0,L$8+1)-INDEX($E70:$I70,0,L$8))/(INDEX($D$5:$H$5,0,L$8+1)-INDEX($D$5:$H$5,0,L$8))+K70)))</f>
        <v>976.8520720424508</v>
      </c>
      <c r="M70" s="8">
        <f t="shared" si="31"/>
        <v>939.49457801803021</v>
      </c>
      <c r="N70" s="8">
        <f t="shared" si="31"/>
        <v>902.13708399360962</v>
      </c>
      <c r="O70" s="8">
        <f t="shared" si="31"/>
        <v>864.77958996918915</v>
      </c>
      <c r="P70" s="8">
        <f t="shared" si="31"/>
        <v>864.77958996918915</v>
      </c>
      <c r="Q70" s="8">
        <f t="shared" si="31"/>
        <v>864.77958996918915</v>
      </c>
      <c r="R70" s="8">
        <f t="shared" si="31"/>
        <v>864.77958996918915</v>
      </c>
      <c r="S70" s="8">
        <f t="shared" si="31"/>
        <v>843.16010021995942</v>
      </c>
      <c r="T70" s="8">
        <f t="shared" si="31"/>
        <v>821.54061047072969</v>
      </c>
      <c r="U70" s="8">
        <f t="shared" si="31"/>
        <v>799.92112072149996</v>
      </c>
      <c r="V70" s="8">
        <f t="shared" si="31"/>
        <v>778.30163097227023</v>
      </c>
      <c r="W70" s="8">
        <f t="shared" si="31"/>
        <v>756.6821412230405</v>
      </c>
      <c r="X70" s="8">
        <f t="shared" si="31"/>
        <v>735.06265147381077</v>
      </c>
      <c r="Y70" s="8">
        <f t="shared" si="31"/>
        <v>713.44316172458105</v>
      </c>
      <c r="Z70" s="8">
        <f t="shared" si="31"/>
        <v>691.82367197535132</v>
      </c>
      <c r="AA70" s="8">
        <f t="shared" si="31"/>
        <v>670.20418222612159</v>
      </c>
      <c r="AB70" s="8">
        <f t="shared" si="31"/>
        <v>648.58469247689186</v>
      </c>
      <c r="AC70" s="8">
        <f t="shared" si="31"/>
        <v>648.58469247689186</v>
      </c>
      <c r="AD70" s="8">
        <f t="shared" si="31"/>
        <v>648.58469247689186</v>
      </c>
      <c r="AE70" s="8">
        <f t="shared" si="31"/>
        <v>648.58469247689186</v>
      </c>
      <c r="AF70" s="8">
        <f t="shared" si="31"/>
        <v>648.58469247689186</v>
      </c>
      <c r="AG70" s="8">
        <f t="shared" si="31"/>
        <v>648.58469247689186</v>
      </c>
      <c r="AH70" s="8">
        <f t="shared" si="31"/>
        <v>648.58469247689186</v>
      </c>
      <c r="AI70" s="8">
        <f t="shared" si="31"/>
        <v>648.58469247689186</v>
      </c>
      <c r="AJ70" s="8">
        <f t="shared" si="31"/>
        <v>648.58469247689186</v>
      </c>
      <c r="AK70" s="8">
        <f t="shared" si="31"/>
        <v>648.58469247689186</v>
      </c>
      <c r="AL70" s="8">
        <f t="shared" si="31"/>
        <v>648.58469247689186</v>
      </c>
      <c r="AM70" s="8">
        <f t="shared" si="31"/>
        <v>648.58469247689186</v>
      </c>
      <c r="AN70" s="8">
        <f t="shared" si="31"/>
        <v>648.58469247689186</v>
      </c>
      <c r="AO70" s="8">
        <f t="shared" si="31"/>
        <v>648.58469247689186</v>
      </c>
      <c r="AP70" s="8">
        <f t="shared" si="31"/>
        <v>648.58469247689186</v>
      </c>
      <c r="AQ70" s="8">
        <f t="shared" si="31"/>
        <v>648.58469247689186</v>
      </c>
      <c r="AR70" s="8">
        <f t="shared" si="31"/>
        <v>648.58469247689186</v>
      </c>
      <c r="AS70" s="8">
        <f t="shared" si="31"/>
        <v>648.58469247689186</v>
      </c>
      <c r="AT70" s="8">
        <f t="shared" si="31"/>
        <v>648.58469247689186</v>
      </c>
      <c r="AU70" s="8">
        <f t="shared" si="31"/>
        <v>648.58469247689186</v>
      </c>
      <c r="AV70" s="8">
        <f t="shared" si="31"/>
        <v>648.58469247689186</v>
      </c>
    </row>
    <row r="71" spans="1:48">
      <c r="A71" s="4" t="s">
        <v>16</v>
      </c>
      <c r="B71" s="174" t="s">
        <v>240</v>
      </c>
      <c r="C71" s="96" t="str">
        <f t="shared" si="29"/>
        <v>Commercial - Space Heating</v>
      </c>
      <c r="D71" s="96" t="s">
        <v>75</v>
      </c>
      <c r="E71" s="107">
        <f t="shared" ref="E71:E75" si="32">$D57/J$23</f>
        <v>59.117764859369188</v>
      </c>
      <c r="F71" s="120">
        <f t="shared" ref="F71:F78" si="33">E57/$O$23</f>
        <v>82.470862832548889</v>
      </c>
      <c r="G71" s="120">
        <f t="shared" si="30"/>
        <v>82.470862832548889</v>
      </c>
      <c r="H71" s="120">
        <f t="shared" ref="H71:H78" si="34">G71*(1+$H$69)</f>
        <v>61.853147124411663</v>
      </c>
      <c r="I71" s="178">
        <f t="shared" si="30"/>
        <v>61.853147124411663</v>
      </c>
      <c r="J71" s="8">
        <f t="shared" ref="J71:AV77" si="35">IF(J$8=-1,K71,IF(J$8=99,I71,IF(J$8=0,INDEX($E71:$I71,0,J$6),(INDEX($E71:$I71,0,J$8+1)-INDEX($E71:$I71,0,J$8))/(INDEX($D$5:$H$5,0,J$8+1)-INDEX($D$5:$H$5,0,J$8))+I71)))</f>
        <v>59.117764859369188</v>
      </c>
      <c r="K71" s="8">
        <f t="shared" si="35"/>
        <v>63.788384454005126</v>
      </c>
      <c r="L71" s="8">
        <f t="shared" si="35"/>
        <v>68.459004048641063</v>
      </c>
      <c r="M71" s="8">
        <f t="shared" si="35"/>
        <v>73.129623643277</v>
      </c>
      <c r="N71" s="8">
        <f t="shared" si="35"/>
        <v>77.800243237912937</v>
      </c>
      <c r="O71" s="8">
        <f t="shared" si="35"/>
        <v>82.470862832548889</v>
      </c>
      <c r="P71" s="8">
        <f t="shared" si="35"/>
        <v>82.470862832548889</v>
      </c>
      <c r="Q71" s="8">
        <f t="shared" si="35"/>
        <v>82.470862832548889</v>
      </c>
      <c r="R71" s="8">
        <f t="shared" si="35"/>
        <v>82.470862832548889</v>
      </c>
      <c r="S71" s="8">
        <f t="shared" si="35"/>
        <v>80.409091261735171</v>
      </c>
      <c r="T71" s="8">
        <f t="shared" si="35"/>
        <v>78.347319690921452</v>
      </c>
      <c r="U71" s="8">
        <f t="shared" si="35"/>
        <v>76.285548120107734</v>
      </c>
      <c r="V71" s="8">
        <f t="shared" si="35"/>
        <v>74.223776549294016</v>
      </c>
      <c r="W71" s="8">
        <f t="shared" si="35"/>
        <v>72.162004978480297</v>
      </c>
      <c r="X71" s="8">
        <f t="shared" si="35"/>
        <v>70.100233407666579</v>
      </c>
      <c r="Y71" s="8">
        <f t="shared" si="35"/>
        <v>68.038461836852861</v>
      </c>
      <c r="Z71" s="8">
        <f t="shared" si="35"/>
        <v>65.976690266039142</v>
      </c>
      <c r="AA71" s="8">
        <f t="shared" si="35"/>
        <v>63.914918695225417</v>
      </c>
      <c r="AB71" s="8">
        <f t="shared" si="35"/>
        <v>61.853147124411663</v>
      </c>
      <c r="AC71" s="8">
        <f t="shared" si="35"/>
        <v>61.853147124411663</v>
      </c>
      <c r="AD71" s="8">
        <f t="shared" si="35"/>
        <v>61.853147124411663</v>
      </c>
      <c r="AE71" s="8">
        <f t="shared" si="35"/>
        <v>61.853147124411663</v>
      </c>
      <c r="AF71" s="8">
        <f t="shared" si="35"/>
        <v>61.853147124411663</v>
      </c>
      <c r="AG71" s="8">
        <f t="shared" si="35"/>
        <v>61.853147124411663</v>
      </c>
      <c r="AH71" s="8">
        <f t="shared" si="35"/>
        <v>61.853147124411663</v>
      </c>
      <c r="AI71" s="8">
        <f t="shared" si="35"/>
        <v>61.853147124411663</v>
      </c>
      <c r="AJ71" s="8">
        <f t="shared" si="35"/>
        <v>61.853147124411663</v>
      </c>
      <c r="AK71" s="8">
        <f t="shared" si="35"/>
        <v>61.853147124411663</v>
      </c>
      <c r="AL71" s="8">
        <f t="shared" si="35"/>
        <v>61.853147124411663</v>
      </c>
      <c r="AM71" s="8">
        <f t="shared" si="35"/>
        <v>61.853147124411663</v>
      </c>
      <c r="AN71" s="8">
        <f t="shared" si="35"/>
        <v>61.853147124411663</v>
      </c>
      <c r="AO71" s="8">
        <f t="shared" si="35"/>
        <v>61.853147124411663</v>
      </c>
      <c r="AP71" s="8">
        <f t="shared" si="35"/>
        <v>61.853147124411663</v>
      </c>
      <c r="AQ71" s="8">
        <f t="shared" si="35"/>
        <v>61.853147124411663</v>
      </c>
      <c r="AR71" s="8">
        <f t="shared" si="35"/>
        <v>61.853147124411663</v>
      </c>
      <c r="AS71" s="8">
        <f t="shared" si="35"/>
        <v>61.853147124411663</v>
      </c>
      <c r="AT71" s="8">
        <f t="shared" si="35"/>
        <v>61.853147124411663</v>
      </c>
      <c r="AU71" s="8">
        <f t="shared" si="35"/>
        <v>61.853147124411663</v>
      </c>
      <c r="AV71" s="8">
        <f t="shared" si="35"/>
        <v>61.853147124411663</v>
      </c>
    </row>
    <row r="72" spans="1:48">
      <c r="A72" s="4" t="s">
        <v>16</v>
      </c>
      <c r="B72" s="174" t="s">
        <v>241</v>
      </c>
      <c r="C72" s="96" t="str">
        <f t="shared" si="29"/>
        <v>Commercial - Cooking</v>
      </c>
      <c r="D72" s="96" t="s">
        <v>75</v>
      </c>
      <c r="E72" s="107">
        <f t="shared" si="32"/>
        <v>74.498085701673531</v>
      </c>
      <c r="F72" s="120">
        <f t="shared" si="33"/>
        <v>61.683981193944355</v>
      </c>
      <c r="G72" s="120">
        <f t="shared" si="30"/>
        <v>61.683981193944355</v>
      </c>
      <c r="H72" s="120">
        <f t="shared" si="34"/>
        <v>46.262985895458264</v>
      </c>
      <c r="I72" s="178">
        <f t="shared" si="30"/>
        <v>46.262985895458264</v>
      </c>
      <c r="J72" s="8">
        <f t="shared" si="35"/>
        <v>74.498085701673531</v>
      </c>
      <c r="K72" s="8">
        <f t="shared" si="35"/>
        <v>71.935264800127698</v>
      </c>
      <c r="L72" s="8">
        <f t="shared" si="35"/>
        <v>69.372443898581864</v>
      </c>
      <c r="M72" s="8">
        <f t="shared" si="35"/>
        <v>66.80962299703603</v>
      </c>
      <c r="N72" s="8">
        <f t="shared" si="35"/>
        <v>64.246802095490196</v>
      </c>
      <c r="O72" s="8">
        <f t="shared" si="35"/>
        <v>61.683981193944355</v>
      </c>
      <c r="P72" s="8">
        <f t="shared" si="35"/>
        <v>61.683981193944355</v>
      </c>
      <c r="Q72" s="8">
        <f t="shared" si="35"/>
        <v>61.683981193944355</v>
      </c>
      <c r="R72" s="8">
        <f t="shared" si="35"/>
        <v>61.683981193944355</v>
      </c>
      <c r="S72" s="8">
        <f t="shared" si="35"/>
        <v>60.141881664095749</v>
      </c>
      <c r="T72" s="8">
        <f t="shared" si="35"/>
        <v>58.599782134247143</v>
      </c>
      <c r="U72" s="8">
        <f t="shared" si="35"/>
        <v>57.057682604398536</v>
      </c>
      <c r="V72" s="8">
        <f t="shared" si="35"/>
        <v>55.51558307454993</v>
      </c>
      <c r="W72" s="8">
        <f t="shared" si="35"/>
        <v>53.973483544701324</v>
      </c>
      <c r="X72" s="8">
        <f t="shared" si="35"/>
        <v>52.431384014852718</v>
      </c>
      <c r="Y72" s="8">
        <f t="shared" si="35"/>
        <v>50.889284485004112</v>
      </c>
      <c r="Z72" s="8">
        <f t="shared" si="35"/>
        <v>49.347184955155505</v>
      </c>
      <c r="AA72" s="8">
        <f t="shared" si="35"/>
        <v>47.805085425306899</v>
      </c>
      <c r="AB72" s="8">
        <f t="shared" si="35"/>
        <v>46.262985895458264</v>
      </c>
      <c r="AC72" s="8">
        <f t="shared" si="35"/>
        <v>46.262985895458264</v>
      </c>
      <c r="AD72" s="8">
        <f t="shared" si="35"/>
        <v>46.262985895458264</v>
      </c>
      <c r="AE72" s="8">
        <f t="shared" si="35"/>
        <v>46.262985895458264</v>
      </c>
      <c r="AF72" s="8">
        <f t="shared" si="35"/>
        <v>46.262985895458264</v>
      </c>
      <c r="AG72" s="8">
        <f t="shared" si="35"/>
        <v>46.262985895458264</v>
      </c>
      <c r="AH72" s="8">
        <f t="shared" si="35"/>
        <v>46.262985895458264</v>
      </c>
      <c r="AI72" s="8">
        <f t="shared" si="35"/>
        <v>46.262985895458264</v>
      </c>
      <c r="AJ72" s="8">
        <f t="shared" si="35"/>
        <v>46.262985895458264</v>
      </c>
      <c r="AK72" s="8">
        <f t="shared" si="35"/>
        <v>46.262985895458264</v>
      </c>
      <c r="AL72" s="8">
        <f t="shared" si="35"/>
        <v>46.262985895458264</v>
      </c>
      <c r="AM72" s="8">
        <f t="shared" si="35"/>
        <v>46.262985895458264</v>
      </c>
      <c r="AN72" s="8">
        <f t="shared" si="35"/>
        <v>46.262985895458264</v>
      </c>
      <c r="AO72" s="8">
        <f t="shared" si="35"/>
        <v>46.262985895458264</v>
      </c>
      <c r="AP72" s="8">
        <f t="shared" si="35"/>
        <v>46.262985895458264</v>
      </c>
      <c r="AQ72" s="8">
        <f t="shared" si="35"/>
        <v>46.262985895458264</v>
      </c>
      <c r="AR72" s="8">
        <f t="shared" si="35"/>
        <v>46.262985895458264</v>
      </c>
      <c r="AS72" s="8">
        <f t="shared" si="35"/>
        <v>46.262985895458264</v>
      </c>
      <c r="AT72" s="8">
        <f t="shared" si="35"/>
        <v>46.262985895458264</v>
      </c>
      <c r="AU72" s="8">
        <f t="shared" si="35"/>
        <v>46.262985895458264</v>
      </c>
      <c r="AV72" s="8">
        <f t="shared" si="35"/>
        <v>46.262985895458264</v>
      </c>
    </row>
    <row r="73" spans="1:48">
      <c r="A73" s="4" t="s">
        <v>16</v>
      </c>
      <c r="B73" s="174" t="s">
        <v>242</v>
      </c>
      <c r="C73" s="96" t="str">
        <f t="shared" si="29"/>
        <v>Commercial - Lighting</v>
      </c>
      <c r="D73" s="96" t="s">
        <v>75</v>
      </c>
      <c r="E73" s="107">
        <f t="shared" si="32"/>
        <v>915.10615144128838</v>
      </c>
      <c r="F73" s="120">
        <f t="shared" si="33"/>
        <v>752.55792279474565</v>
      </c>
      <c r="G73" s="120">
        <f t="shared" si="30"/>
        <v>752.55792279474565</v>
      </c>
      <c r="H73" s="120">
        <f t="shared" si="34"/>
        <v>564.41844209605927</v>
      </c>
      <c r="I73" s="178">
        <f t="shared" si="30"/>
        <v>564.41844209605927</v>
      </c>
      <c r="J73" s="8">
        <f t="shared" si="35"/>
        <v>915.10615144128838</v>
      </c>
      <c r="K73" s="8">
        <f t="shared" si="35"/>
        <v>882.59650571197983</v>
      </c>
      <c r="L73" s="8">
        <f t="shared" si="35"/>
        <v>850.08685998267129</v>
      </c>
      <c r="M73" s="8">
        <f t="shared" si="35"/>
        <v>817.57721425336274</v>
      </c>
      <c r="N73" s="8">
        <f t="shared" si="35"/>
        <v>785.0675685240542</v>
      </c>
      <c r="O73" s="8">
        <f t="shared" si="35"/>
        <v>752.55792279474565</v>
      </c>
      <c r="P73" s="8">
        <f t="shared" si="35"/>
        <v>752.55792279474565</v>
      </c>
      <c r="Q73" s="8">
        <f t="shared" si="35"/>
        <v>752.55792279474565</v>
      </c>
      <c r="R73" s="8">
        <f t="shared" si="35"/>
        <v>752.55792279474565</v>
      </c>
      <c r="S73" s="8">
        <f t="shared" si="35"/>
        <v>733.74397472487703</v>
      </c>
      <c r="T73" s="8">
        <f t="shared" si="35"/>
        <v>714.93002665500842</v>
      </c>
      <c r="U73" s="8">
        <f t="shared" si="35"/>
        <v>696.1160785851398</v>
      </c>
      <c r="V73" s="8">
        <f t="shared" si="35"/>
        <v>677.30213051527119</v>
      </c>
      <c r="W73" s="8">
        <f t="shared" si="35"/>
        <v>658.48818244540257</v>
      </c>
      <c r="X73" s="8">
        <f t="shared" si="35"/>
        <v>639.67423437553396</v>
      </c>
      <c r="Y73" s="8">
        <f t="shared" si="35"/>
        <v>620.86028630566534</v>
      </c>
      <c r="Z73" s="8">
        <f t="shared" si="35"/>
        <v>602.04633823579672</v>
      </c>
      <c r="AA73" s="8">
        <f t="shared" si="35"/>
        <v>583.23239016592811</v>
      </c>
      <c r="AB73" s="8">
        <f t="shared" si="35"/>
        <v>564.41844209605927</v>
      </c>
      <c r="AC73" s="8">
        <f t="shared" si="35"/>
        <v>564.41844209605927</v>
      </c>
      <c r="AD73" s="8">
        <f t="shared" si="35"/>
        <v>564.41844209605927</v>
      </c>
      <c r="AE73" s="8">
        <f t="shared" si="35"/>
        <v>564.41844209605927</v>
      </c>
      <c r="AF73" s="8">
        <f t="shared" si="35"/>
        <v>564.41844209605927</v>
      </c>
      <c r="AG73" s="8">
        <f t="shared" si="35"/>
        <v>564.41844209605927</v>
      </c>
      <c r="AH73" s="8">
        <f t="shared" si="35"/>
        <v>564.41844209605927</v>
      </c>
      <c r="AI73" s="8">
        <f t="shared" si="35"/>
        <v>564.41844209605927</v>
      </c>
      <c r="AJ73" s="8">
        <f t="shared" si="35"/>
        <v>564.41844209605927</v>
      </c>
      <c r="AK73" s="8">
        <f t="shared" si="35"/>
        <v>564.41844209605927</v>
      </c>
      <c r="AL73" s="8">
        <f t="shared" si="35"/>
        <v>564.41844209605927</v>
      </c>
      <c r="AM73" s="8">
        <f t="shared" si="35"/>
        <v>564.41844209605927</v>
      </c>
      <c r="AN73" s="8">
        <f t="shared" si="35"/>
        <v>564.41844209605927</v>
      </c>
      <c r="AO73" s="8">
        <f t="shared" si="35"/>
        <v>564.41844209605927</v>
      </c>
      <c r="AP73" s="8">
        <f t="shared" si="35"/>
        <v>564.41844209605927</v>
      </c>
      <c r="AQ73" s="8">
        <f t="shared" si="35"/>
        <v>564.41844209605927</v>
      </c>
      <c r="AR73" s="8">
        <f t="shared" si="35"/>
        <v>564.41844209605927</v>
      </c>
      <c r="AS73" s="8">
        <f t="shared" si="35"/>
        <v>564.41844209605927</v>
      </c>
      <c r="AT73" s="8">
        <f t="shared" si="35"/>
        <v>564.41844209605927</v>
      </c>
      <c r="AU73" s="8">
        <f t="shared" si="35"/>
        <v>564.41844209605927</v>
      </c>
      <c r="AV73" s="8">
        <f t="shared" si="35"/>
        <v>564.41844209605927</v>
      </c>
    </row>
    <row r="74" spans="1:48">
      <c r="A74" s="4" t="s">
        <v>16</v>
      </c>
      <c r="B74" s="174" t="s">
        <v>243</v>
      </c>
      <c r="C74" s="96" t="str">
        <f t="shared" si="29"/>
        <v>Commercial - Refrigeration</v>
      </c>
      <c r="D74" s="96" t="s">
        <v>75</v>
      </c>
      <c r="E74" s="107">
        <f t="shared" si="32"/>
        <v>222.61251585750318</v>
      </c>
      <c r="F74" s="120">
        <f t="shared" si="33"/>
        <v>183.07035993362933</v>
      </c>
      <c r="G74" s="120">
        <f t="shared" si="30"/>
        <v>183.07035993362933</v>
      </c>
      <c r="H74" s="120">
        <f t="shared" si="34"/>
        <v>137.302769950222</v>
      </c>
      <c r="I74" s="178">
        <f t="shared" si="30"/>
        <v>137.302769950222</v>
      </c>
      <c r="J74" s="8">
        <f t="shared" si="35"/>
        <v>222.61251585750318</v>
      </c>
      <c r="K74" s="8">
        <f t="shared" si="35"/>
        <v>214.70408467272841</v>
      </c>
      <c r="L74" s="8">
        <f t="shared" si="35"/>
        <v>206.79565348795364</v>
      </c>
      <c r="M74" s="8">
        <f t="shared" si="35"/>
        <v>198.88722230317887</v>
      </c>
      <c r="N74" s="8">
        <f t="shared" si="35"/>
        <v>190.9787911184041</v>
      </c>
      <c r="O74" s="8">
        <f t="shared" si="35"/>
        <v>183.07035993362933</v>
      </c>
      <c r="P74" s="8">
        <f t="shared" si="35"/>
        <v>183.07035993362933</v>
      </c>
      <c r="Q74" s="8">
        <f t="shared" si="35"/>
        <v>183.07035993362933</v>
      </c>
      <c r="R74" s="8">
        <f t="shared" si="35"/>
        <v>183.07035993362933</v>
      </c>
      <c r="S74" s="8">
        <f t="shared" si="35"/>
        <v>178.49360093528861</v>
      </c>
      <c r="T74" s="8">
        <f t="shared" si="35"/>
        <v>173.91684193694789</v>
      </c>
      <c r="U74" s="8">
        <f t="shared" si="35"/>
        <v>169.34008293860717</v>
      </c>
      <c r="V74" s="8">
        <f t="shared" si="35"/>
        <v>164.76332394026645</v>
      </c>
      <c r="W74" s="8">
        <f t="shared" si="35"/>
        <v>160.18656494192572</v>
      </c>
      <c r="X74" s="8">
        <f t="shared" si="35"/>
        <v>155.609805943585</v>
      </c>
      <c r="Y74" s="8">
        <f t="shared" si="35"/>
        <v>151.03304694524428</v>
      </c>
      <c r="Z74" s="8">
        <f t="shared" si="35"/>
        <v>146.45628794690356</v>
      </c>
      <c r="AA74" s="8">
        <f t="shared" si="35"/>
        <v>141.87952894856284</v>
      </c>
      <c r="AB74" s="8">
        <f t="shared" si="35"/>
        <v>137.302769950222</v>
      </c>
      <c r="AC74" s="8">
        <f t="shared" si="35"/>
        <v>137.302769950222</v>
      </c>
      <c r="AD74" s="8">
        <f t="shared" si="35"/>
        <v>137.302769950222</v>
      </c>
      <c r="AE74" s="8">
        <f t="shared" si="35"/>
        <v>137.302769950222</v>
      </c>
      <c r="AF74" s="8">
        <f t="shared" si="35"/>
        <v>137.302769950222</v>
      </c>
      <c r="AG74" s="8">
        <f t="shared" si="35"/>
        <v>137.302769950222</v>
      </c>
      <c r="AH74" s="8">
        <f t="shared" si="35"/>
        <v>137.302769950222</v>
      </c>
      <c r="AI74" s="8">
        <f t="shared" si="35"/>
        <v>137.302769950222</v>
      </c>
      <c r="AJ74" s="8">
        <f t="shared" si="35"/>
        <v>137.302769950222</v>
      </c>
      <c r="AK74" s="8">
        <f t="shared" si="35"/>
        <v>137.302769950222</v>
      </c>
      <c r="AL74" s="8">
        <f t="shared" si="35"/>
        <v>137.302769950222</v>
      </c>
      <c r="AM74" s="8">
        <f t="shared" si="35"/>
        <v>137.302769950222</v>
      </c>
      <c r="AN74" s="8">
        <f t="shared" si="35"/>
        <v>137.302769950222</v>
      </c>
      <c r="AO74" s="8">
        <f t="shared" si="35"/>
        <v>137.302769950222</v>
      </c>
      <c r="AP74" s="8">
        <f t="shared" si="35"/>
        <v>137.302769950222</v>
      </c>
      <c r="AQ74" s="8">
        <f t="shared" si="35"/>
        <v>137.302769950222</v>
      </c>
      <c r="AR74" s="8">
        <f t="shared" si="35"/>
        <v>137.302769950222</v>
      </c>
      <c r="AS74" s="8">
        <f t="shared" si="35"/>
        <v>137.302769950222</v>
      </c>
      <c r="AT74" s="8">
        <f t="shared" si="35"/>
        <v>137.302769950222</v>
      </c>
      <c r="AU74" s="8">
        <f t="shared" si="35"/>
        <v>137.302769950222</v>
      </c>
      <c r="AV74" s="8">
        <f t="shared" si="35"/>
        <v>137.302769950222</v>
      </c>
    </row>
    <row r="75" spans="1:48">
      <c r="A75" s="4" t="s">
        <v>16</v>
      </c>
      <c r="B75" s="174" t="s">
        <v>244</v>
      </c>
      <c r="C75" s="96" t="str">
        <f t="shared" si="29"/>
        <v>Commercial - Water Heating</v>
      </c>
      <c r="D75" s="96" t="s">
        <v>75</v>
      </c>
      <c r="E75" s="107">
        <f t="shared" si="32"/>
        <v>72.906473658117989</v>
      </c>
      <c r="F75" s="120">
        <f t="shared" si="33"/>
        <v>95.432706346388613</v>
      </c>
      <c r="G75" s="120">
        <f t="shared" si="30"/>
        <v>95.432706346388613</v>
      </c>
      <c r="H75" s="120">
        <f t="shared" si="34"/>
        <v>71.57452975979146</v>
      </c>
      <c r="I75" s="178">
        <f t="shared" si="30"/>
        <v>71.57452975979146</v>
      </c>
      <c r="J75" s="8">
        <f t="shared" si="35"/>
        <v>72.906473658117989</v>
      </c>
      <c r="K75" s="8">
        <f t="shared" si="35"/>
        <v>77.411720195772119</v>
      </c>
      <c r="L75" s="8">
        <f t="shared" si="35"/>
        <v>81.91696673342625</v>
      </c>
      <c r="M75" s="8">
        <f t="shared" si="35"/>
        <v>86.422213271080381</v>
      </c>
      <c r="N75" s="8">
        <f t="shared" si="35"/>
        <v>90.927459808734511</v>
      </c>
      <c r="O75" s="8">
        <f t="shared" si="35"/>
        <v>95.432706346388613</v>
      </c>
      <c r="P75" s="8">
        <f t="shared" si="35"/>
        <v>95.432706346388613</v>
      </c>
      <c r="Q75" s="8">
        <f t="shared" si="35"/>
        <v>95.432706346388613</v>
      </c>
      <c r="R75" s="8">
        <f t="shared" si="35"/>
        <v>95.432706346388613</v>
      </c>
      <c r="S75" s="8">
        <f t="shared" si="35"/>
        <v>93.046888687728895</v>
      </c>
      <c r="T75" s="8">
        <f t="shared" si="35"/>
        <v>90.661071029069177</v>
      </c>
      <c r="U75" s="8">
        <f t="shared" si="35"/>
        <v>88.275253370409459</v>
      </c>
      <c r="V75" s="8">
        <f t="shared" si="35"/>
        <v>85.889435711749741</v>
      </c>
      <c r="W75" s="8">
        <f t="shared" si="35"/>
        <v>83.503618053090022</v>
      </c>
      <c r="X75" s="8">
        <f t="shared" si="35"/>
        <v>81.117800394430304</v>
      </c>
      <c r="Y75" s="8">
        <f t="shared" si="35"/>
        <v>78.731982735770586</v>
      </c>
      <c r="Z75" s="8">
        <f t="shared" si="35"/>
        <v>76.346165077110868</v>
      </c>
      <c r="AA75" s="8">
        <f t="shared" si="35"/>
        <v>73.96034741845115</v>
      </c>
      <c r="AB75" s="8">
        <f t="shared" si="35"/>
        <v>71.57452975979146</v>
      </c>
      <c r="AC75" s="8">
        <f t="shared" si="35"/>
        <v>71.57452975979146</v>
      </c>
      <c r="AD75" s="8">
        <f t="shared" si="35"/>
        <v>71.57452975979146</v>
      </c>
      <c r="AE75" s="8">
        <f t="shared" si="35"/>
        <v>71.57452975979146</v>
      </c>
      <c r="AF75" s="8">
        <f t="shared" si="35"/>
        <v>71.57452975979146</v>
      </c>
      <c r="AG75" s="8">
        <f t="shared" si="35"/>
        <v>71.57452975979146</v>
      </c>
      <c r="AH75" s="8">
        <f t="shared" si="35"/>
        <v>71.57452975979146</v>
      </c>
      <c r="AI75" s="8">
        <f t="shared" si="35"/>
        <v>71.57452975979146</v>
      </c>
      <c r="AJ75" s="8">
        <f t="shared" si="35"/>
        <v>71.57452975979146</v>
      </c>
      <c r="AK75" s="8">
        <f t="shared" si="35"/>
        <v>71.57452975979146</v>
      </c>
      <c r="AL75" s="8">
        <f t="shared" si="35"/>
        <v>71.57452975979146</v>
      </c>
      <c r="AM75" s="8">
        <f t="shared" si="35"/>
        <v>71.57452975979146</v>
      </c>
      <c r="AN75" s="8">
        <f t="shared" si="35"/>
        <v>71.57452975979146</v>
      </c>
      <c r="AO75" s="8">
        <f t="shared" si="35"/>
        <v>71.57452975979146</v>
      </c>
      <c r="AP75" s="8">
        <f t="shared" si="35"/>
        <v>71.57452975979146</v>
      </c>
      <c r="AQ75" s="8">
        <f t="shared" si="35"/>
        <v>71.57452975979146</v>
      </c>
      <c r="AR75" s="8">
        <f t="shared" si="35"/>
        <v>71.57452975979146</v>
      </c>
      <c r="AS75" s="8">
        <f t="shared" si="35"/>
        <v>71.57452975979146</v>
      </c>
      <c r="AT75" s="8">
        <f t="shared" si="35"/>
        <v>71.57452975979146</v>
      </c>
      <c r="AU75" s="8">
        <f t="shared" si="35"/>
        <v>71.57452975979146</v>
      </c>
      <c r="AV75" s="8">
        <f t="shared" si="35"/>
        <v>71.57452975979146</v>
      </c>
    </row>
    <row r="76" spans="1:48">
      <c r="A76" s="4" t="s">
        <v>16</v>
      </c>
      <c r="B76" s="174" t="s">
        <v>245</v>
      </c>
      <c r="C76" s="124" t="str">
        <f t="shared" si="29"/>
        <v>Commercial - Public lights</v>
      </c>
      <c r="D76" s="124" t="s">
        <v>75</v>
      </c>
      <c r="E76" s="204">
        <v>0</v>
      </c>
      <c r="F76" s="120">
        <v>0</v>
      </c>
      <c r="G76" s="205">
        <f t="shared" si="30"/>
        <v>0</v>
      </c>
      <c r="H76" s="120">
        <f t="shared" si="34"/>
        <v>0</v>
      </c>
      <c r="I76" s="206">
        <f t="shared" si="30"/>
        <v>0</v>
      </c>
      <c r="J76" s="8">
        <f t="shared" si="35"/>
        <v>0</v>
      </c>
      <c r="K76" s="8">
        <f t="shared" si="35"/>
        <v>0</v>
      </c>
      <c r="L76" s="8">
        <f t="shared" si="35"/>
        <v>0</v>
      </c>
      <c r="M76" s="8">
        <f>IF(M$8=-1,N76,IF(M$8=99,L76,IF(M$8=0,INDEX($E76:$I76,0,M$6),(INDEX($E76:$I76,0,M$8+1)-INDEX($E76:$I76,0,M$8))/(INDEX($D$5:$H$5,0,M$8+1)-INDEX($D$5:$H$5,0,M$8))+L76)))</f>
        <v>0</v>
      </c>
      <c r="N76" s="8">
        <f t="shared" si="35"/>
        <v>0</v>
      </c>
      <c r="O76" s="8">
        <f t="shared" si="35"/>
        <v>0</v>
      </c>
      <c r="P76" s="8">
        <f t="shared" si="35"/>
        <v>0</v>
      </c>
      <c r="Q76" s="8">
        <f t="shared" si="35"/>
        <v>0</v>
      </c>
      <c r="R76" s="8">
        <f t="shared" si="35"/>
        <v>0</v>
      </c>
      <c r="S76" s="8">
        <f t="shared" si="35"/>
        <v>0</v>
      </c>
      <c r="T76" s="8">
        <f t="shared" si="35"/>
        <v>0</v>
      </c>
      <c r="U76" s="8">
        <f t="shared" si="35"/>
        <v>0</v>
      </c>
      <c r="V76" s="8">
        <f t="shared" si="35"/>
        <v>0</v>
      </c>
      <c r="W76" s="8">
        <f t="shared" si="35"/>
        <v>0</v>
      </c>
      <c r="X76" s="8">
        <f t="shared" si="35"/>
        <v>0</v>
      </c>
      <c r="Y76" s="8">
        <f t="shared" si="35"/>
        <v>0</v>
      </c>
      <c r="Z76" s="8">
        <f t="shared" si="35"/>
        <v>0</v>
      </c>
      <c r="AA76" s="8">
        <f t="shared" si="35"/>
        <v>0</v>
      </c>
      <c r="AB76" s="8">
        <f t="shared" si="35"/>
        <v>0</v>
      </c>
      <c r="AC76" s="8">
        <f t="shared" si="35"/>
        <v>0</v>
      </c>
      <c r="AD76" s="8">
        <f t="shared" si="35"/>
        <v>0</v>
      </c>
      <c r="AE76" s="8">
        <f t="shared" si="35"/>
        <v>0</v>
      </c>
      <c r="AF76" s="8">
        <f t="shared" si="35"/>
        <v>0</v>
      </c>
      <c r="AG76" s="8">
        <f t="shared" si="35"/>
        <v>0</v>
      </c>
      <c r="AH76" s="8">
        <f t="shared" si="35"/>
        <v>0</v>
      </c>
      <c r="AI76" s="8">
        <f t="shared" si="35"/>
        <v>0</v>
      </c>
      <c r="AJ76" s="8">
        <f t="shared" si="35"/>
        <v>0</v>
      </c>
      <c r="AK76" s="8">
        <f t="shared" si="35"/>
        <v>0</v>
      </c>
      <c r="AL76" s="8">
        <f t="shared" si="35"/>
        <v>0</v>
      </c>
      <c r="AM76" s="8">
        <f t="shared" si="35"/>
        <v>0</v>
      </c>
      <c r="AN76" s="8">
        <f t="shared" si="35"/>
        <v>0</v>
      </c>
      <c r="AO76" s="8">
        <f t="shared" si="35"/>
        <v>0</v>
      </c>
      <c r="AP76" s="8">
        <f t="shared" si="35"/>
        <v>0</v>
      </c>
      <c r="AQ76" s="8">
        <f t="shared" si="35"/>
        <v>0</v>
      </c>
      <c r="AR76" s="8">
        <f t="shared" si="35"/>
        <v>0</v>
      </c>
      <c r="AS76" s="8">
        <f t="shared" si="35"/>
        <v>0</v>
      </c>
      <c r="AT76" s="8">
        <f t="shared" si="35"/>
        <v>0</v>
      </c>
      <c r="AU76" s="8">
        <f t="shared" si="35"/>
        <v>0</v>
      </c>
      <c r="AV76" s="8">
        <f t="shared" si="35"/>
        <v>0</v>
      </c>
    </row>
    <row r="77" spans="1:48">
      <c r="A77" s="4" t="s">
        <v>16</v>
      </c>
      <c r="B77" s="174" t="s">
        <v>246</v>
      </c>
      <c r="C77" s="124" t="str">
        <f t="shared" si="29"/>
        <v>Commercial - Public Water</v>
      </c>
      <c r="D77" s="124" t="s">
        <v>75</v>
      </c>
      <c r="E77" s="204">
        <v>0</v>
      </c>
      <c r="F77" s="120">
        <v>0</v>
      </c>
      <c r="G77" s="205">
        <f t="shared" si="30"/>
        <v>0</v>
      </c>
      <c r="H77" s="120">
        <f t="shared" si="34"/>
        <v>0</v>
      </c>
      <c r="I77" s="206">
        <f t="shared" si="30"/>
        <v>0</v>
      </c>
      <c r="J77" s="8">
        <f t="shared" si="35"/>
        <v>0</v>
      </c>
      <c r="K77" s="8">
        <f t="shared" si="35"/>
        <v>0</v>
      </c>
      <c r="L77" s="8">
        <f t="shared" si="35"/>
        <v>0</v>
      </c>
      <c r="M77" s="8">
        <f t="shared" si="35"/>
        <v>0</v>
      </c>
      <c r="N77" s="8">
        <f t="shared" si="35"/>
        <v>0</v>
      </c>
      <c r="O77" s="8">
        <f t="shared" si="35"/>
        <v>0</v>
      </c>
      <c r="P77" s="8">
        <f t="shared" si="35"/>
        <v>0</v>
      </c>
      <c r="Q77" s="8">
        <f t="shared" si="35"/>
        <v>0</v>
      </c>
      <c r="R77" s="8">
        <f t="shared" si="35"/>
        <v>0</v>
      </c>
      <c r="S77" s="8">
        <f t="shared" si="35"/>
        <v>0</v>
      </c>
      <c r="T77" s="8">
        <f t="shared" si="35"/>
        <v>0</v>
      </c>
      <c r="U77" s="8">
        <f t="shared" si="35"/>
        <v>0</v>
      </c>
      <c r="V77" s="8">
        <f t="shared" si="35"/>
        <v>0</v>
      </c>
      <c r="W77" s="8">
        <f t="shared" si="35"/>
        <v>0</v>
      </c>
      <c r="X77" s="8">
        <f t="shared" si="35"/>
        <v>0</v>
      </c>
      <c r="Y77" s="8">
        <f t="shared" si="35"/>
        <v>0</v>
      </c>
      <c r="Z77" s="8">
        <f t="shared" si="35"/>
        <v>0</v>
      </c>
      <c r="AA77" s="8">
        <f t="shared" si="35"/>
        <v>0</v>
      </c>
      <c r="AB77" s="8">
        <f t="shared" si="35"/>
        <v>0</v>
      </c>
      <c r="AC77" s="8">
        <f t="shared" si="35"/>
        <v>0</v>
      </c>
      <c r="AD77" s="8">
        <f t="shared" si="35"/>
        <v>0</v>
      </c>
      <c r="AE77" s="8">
        <f t="shared" ref="AE77:AV77" si="36">IF(AE$8=-1,AF77,IF(AE$8=99,AD77,IF(AE$8=0,INDEX($E77:$I77,0,AE$6),(INDEX($E77:$I77,0,AE$8+1)-INDEX($E77:$I77,0,AE$8))/(INDEX($D$5:$H$5,0,AE$8+1)-INDEX($D$5:$H$5,0,AE$8))+AD77)))</f>
        <v>0</v>
      </c>
      <c r="AF77" s="8">
        <f t="shared" si="36"/>
        <v>0</v>
      </c>
      <c r="AG77" s="8">
        <f t="shared" si="36"/>
        <v>0</v>
      </c>
      <c r="AH77" s="8">
        <f t="shared" si="36"/>
        <v>0</v>
      </c>
      <c r="AI77" s="8">
        <f t="shared" si="36"/>
        <v>0</v>
      </c>
      <c r="AJ77" s="8">
        <f t="shared" si="36"/>
        <v>0</v>
      </c>
      <c r="AK77" s="8">
        <f t="shared" si="36"/>
        <v>0</v>
      </c>
      <c r="AL77" s="8">
        <f t="shared" si="36"/>
        <v>0</v>
      </c>
      <c r="AM77" s="8">
        <f t="shared" si="36"/>
        <v>0</v>
      </c>
      <c r="AN77" s="8">
        <f t="shared" si="36"/>
        <v>0</v>
      </c>
      <c r="AO77" s="8">
        <f t="shared" si="36"/>
        <v>0</v>
      </c>
      <c r="AP77" s="8">
        <f t="shared" si="36"/>
        <v>0</v>
      </c>
      <c r="AQ77" s="8">
        <f t="shared" si="36"/>
        <v>0</v>
      </c>
      <c r="AR77" s="8">
        <f t="shared" si="36"/>
        <v>0</v>
      </c>
      <c r="AS77" s="8">
        <f t="shared" si="36"/>
        <v>0</v>
      </c>
      <c r="AT77" s="8">
        <f t="shared" si="36"/>
        <v>0</v>
      </c>
      <c r="AU77" s="8">
        <f t="shared" si="36"/>
        <v>0</v>
      </c>
      <c r="AV77" s="8">
        <f t="shared" si="36"/>
        <v>0</v>
      </c>
    </row>
    <row r="78" spans="1:48">
      <c r="A78" s="4" t="s">
        <v>16</v>
      </c>
      <c r="B78" s="174" t="s">
        <v>247</v>
      </c>
      <c r="C78" s="96" t="str">
        <f t="shared" si="29"/>
        <v>Commercial - Other</v>
      </c>
      <c r="D78" s="102" t="s">
        <v>75</v>
      </c>
      <c r="E78" s="107">
        <f>$D64/J$23</f>
        <v>141.24997285391134</v>
      </c>
      <c r="F78" s="120">
        <f t="shared" si="33"/>
        <v>122.21640392690337</v>
      </c>
      <c r="G78" s="120">
        <f t="shared" si="30"/>
        <v>122.21640392690337</v>
      </c>
      <c r="H78" s="120">
        <f t="shared" si="34"/>
        <v>91.66230294517753</v>
      </c>
      <c r="I78" s="178">
        <f t="shared" si="30"/>
        <v>91.66230294517753</v>
      </c>
      <c r="J78" s="8">
        <f t="shared" ref="J78:AV78" si="37">IF(J$8=-1,K78,IF(J$8=99,I78,IF(J$8=0,INDEX($E78:$I78,0,J$6),(INDEX($E78:$I78,0,J$8+1)-INDEX($E78:$I78,0,J$8))/(INDEX($D$5:$H$5,0,J$8+1)-INDEX($D$5:$H$5,0,J$8))+I78)))</f>
        <v>141.24997285391134</v>
      </c>
      <c r="K78" s="8">
        <f t="shared" si="37"/>
        <v>137.44325906850975</v>
      </c>
      <c r="L78" s="8">
        <f t="shared" si="37"/>
        <v>133.63654528310815</v>
      </c>
      <c r="M78" s="8">
        <f t="shared" si="37"/>
        <v>129.82983149770655</v>
      </c>
      <c r="N78" s="8">
        <f t="shared" si="37"/>
        <v>126.02311771230495</v>
      </c>
      <c r="O78" s="8">
        <f t="shared" si="37"/>
        <v>122.21640392690337</v>
      </c>
      <c r="P78" s="8">
        <f t="shared" si="37"/>
        <v>122.21640392690337</v>
      </c>
      <c r="Q78" s="8">
        <f t="shared" si="37"/>
        <v>122.21640392690337</v>
      </c>
      <c r="R78" s="8">
        <f t="shared" si="37"/>
        <v>122.21640392690337</v>
      </c>
      <c r="S78" s="8">
        <f t="shared" si="37"/>
        <v>119.16099382873078</v>
      </c>
      <c r="T78" s="8">
        <f t="shared" si="37"/>
        <v>116.10558373055819</v>
      </c>
      <c r="U78" s="8">
        <f t="shared" si="37"/>
        <v>113.05017363238561</v>
      </c>
      <c r="V78" s="8">
        <f t="shared" si="37"/>
        <v>109.99476353421302</v>
      </c>
      <c r="W78" s="8">
        <f t="shared" si="37"/>
        <v>106.93935343604043</v>
      </c>
      <c r="X78" s="8">
        <f t="shared" si="37"/>
        <v>103.88394333786785</v>
      </c>
      <c r="Y78" s="8">
        <f t="shared" si="37"/>
        <v>100.82853323969526</v>
      </c>
      <c r="Z78" s="8">
        <f t="shared" si="37"/>
        <v>97.773123141522674</v>
      </c>
      <c r="AA78" s="8">
        <f t="shared" si="37"/>
        <v>94.717713043350088</v>
      </c>
      <c r="AB78" s="8">
        <f t="shared" si="37"/>
        <v>91.66230294517753</v>
      </c>
      <c r="AC78" s="8">
        <f t="shared" si="37"/>
        <v>91.66230294517753</v>
      </c>
      <c r="AD78" s="8">
        <f t="shared" si="37"/>
        <v>91.66230294517753</v>
      </c>
      <c r="AE78" s="8">
        <f t="shared" si="37"/>
        <v>91.66230294517753</v>
      </c>
      <c r="AF78" s="8">
        <f t="shared" si="37"/>
        <v>91.66230294517753</v>
      </c>
      <c r="AG78" s="8">
        <f t="shared" si="37"/>
        <v>91.66230294517753</v>
      </c>
      <c r="AH78" s="8">
        <f t="shared" si="37"/>
        <v>91.66230294517753</v>
      </c>
      <c r="AI78" s="8">
        <f t="shared" si="37"/>
        <v>91.66230294517753</v>
      </c>
      <c r="AJ78" s="8">
        <f t="shared" si="37"/>
        <v>91.66230294517753</v>
      </c>
      <c r="AK78" s="8">
        <f t="shared" si="37"/>
        <v>91.66230294517753</v>
      </c>
      <c r="AL78" s="8">
        <f t="shared" si="37"/>
        <v>91.66230294517753</v>
      </c>
      <c r="AM78" s="8">
        <f t="shared" si="37"/>
        <v>91.66230294517753</v>
      </c>
      <c r="AN78" s="8">
        <f t="shared" si="37"/>
        <v>91.66230294517753</v>
      </c>
      <c r="AO78" s="8">
        <f t="shared" si="37"/>
        <v>91.66230294517753</v>
      </c>
      <c r="AP78" s="8">
        <f t="shared" si="37"/>
        <v>91.66230294517753</v>
      </c>
      <c r="AQ78" s="8">
        <f t="shared" si="37"/>
        <v>91.66230294517753</v>
      </c>
      <c r="AR78" s="8">
        <f t="shared" si="37"/>
        <v>91.66230294517753</v>
      </c>
      <c r="AS78" s="8">
        <f t="shared" si="37"/>
        <v>91.66230294517753</v>
      </c>
      <c r="AT78" s="8">
        <f t="shared" si="37"/>
        <v>91.66230294517753</v>
      </c>
      <c r="AU78" s="8">
        <f t="shared" si="37"/>
        <v>91.66230294517753</v>
      </c>
      <c r="AV78" s="8">
        <f t="shared" si="37"/>
        <v>91.66230294517753</v>
      </c>
    </row>
    <row r="79" spans="1:48">
      <c r="A79" s="4" t="s">
        <v>16</v>
      </c>
      <c r="B79" s="174"/>
      <c r="I79" s="208"/>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5.75" thickBot="1">
      <c r="A80" s="4" t="s">
        <v>16</v>
      </c>
      <c r="B80" s="117" t="s">
        <v>77</v>
      </c>
      <c r="C80" s="93"/>
      <c r="D80" s="94"/>
      <c r="E80" s="118"/>
      <c r="F80" s="118"/>
      <c r="G80" s="118"/>
      <c r="H80" s="214"/>
      <c r="I80" s="209"/>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row>
    <row r="81" spans="1:48">
      <c r="A81" s="4" t="s">
        <v>16</v>
      </c>
      <c r="B81" s="174" t="s">
        <v>248</v>
      </c>
      <c r="C81" s="96" t="str">
        <f t="shared" ref="C81:C89" si="38">C70</f>
        <v>Commercial - Cooling</v>
      </c>
      <c r="D81" s="96" t="s">
        <v>75</v>
      </c>
      <c r="E81" s="107">
        <f>E70</f>
        <v>1051.567060091292</v>
      </c>
      <c r="F81" s="120">
        <f>F70</f>
        <v>864.77958996918915</v>
      </c>
      <c r="G81" s="120">
        <f t="shared" ref="G81:G89" si="39">F81</f>
        <v>864.77958996918915</v>
      </c>
      <c r="H81" s="120">
        <f>G81*(1+$H$69)</f>
        <v>648.58469247689186</v>
      </c>
      <c r="I81" s="178">
        <f t="shared" ref="I81:I89" si="40">H81</f>
        <v>648.58469247689186</v>
      </c>
      <c r="J81" s="8">
        <f>IF(J$8=-1,K81,IF(J$8=99,I81,IF(J$8=0,INDEX($E81:$I81,0,J$6),(INDEX($E81:$I81,0,J$8+1)-INDEX($E81:$I81,0,J$8))/(INDEX($D$5:$H$5,0,J$8+1)-INDEX($D$5:$H$5,0,J$8))+I81)))</f>
        <v>1051.567060091292</v>
      </c>
      <c r="K81" s="8">
        <f>IF(K$8=-1,L81,IF(K$8=99,J81,IF(K$8=0,INDEX($E81:$I81,0,K$6),(INDEX($E81:$I81,0,K$8+1)-INDEX($E81:$I81,0,K$8))/(INDEX($D$5:$H$5,0,K$8+1)-INDEX($D$5:$H$5,0,K$8))+J81)))</f>
        <v>1014.2095660668714</v>
      </c>
      <c r="L81" s="8">
        <f t="shared" ref="L81:L89" si="41">IF(L$8=-1,M81,IF(L$8=99,K81,IF(L$8=0,INDEX($E81:$I81,0,L$6),(INDEX($E81:$I81,0,L$8+1)-INDEX($E81:$I81,0,L$8))/(INDEX($D$5:$H$5,0,L$8+1)-INDEX($D$5:$H$5,0,L$8))+K81)))</f>
        <v>976.8520720424508</v>
      </c>
      <c r="M81" s="8">
        <f t="shared" ref="M81:M86" si="42">IF(M$8=-1,N81,IF(M$8=99,L81,IF(M$8=0,INDEX($E81:$I81,0,M$6),(INDEX($E81:$I81,0,M$8+1)-INDEX($E81:$I81,0,M$8))/(INDEX($D$5:$H$5,0,M$8+1)-INDEX($D$5:$H$5,0,M$8))+L81)))</f>
        <v>939.49457801803021</v>
      </c>
      <c r="N81" s="8">
        <f t="shared" ref="N81:N89" si="43">IF(N$8=-1,O81,IF(N$8=99,M81,IF(N$8=0,INDEX($E81:$I81,0,N$6),(INDEX($E81:$I81,0,N$8+1)-INDEX($E81:$I81,0,N$8))/(INDEX($D$5:$H$5,0,N$8+1)-INDEX($D$5:$H$5,0,N$8))+M81)))</f>
        <v>902.13708399360962</v>
      </c>
      <c r="O81" s="8">
        <f t="shared" ref="O81:O89" si="44">IF(O$8=-1,P81,IF(O$8=99,N81,IF(O$8=0,INDEX($E81:$I81,0,O$6),(INDEX($E81:$I81,0,O$8+1)-INDEX($E81:$I81,0,O$8))/(INDEX($D$5:$H$5,0,O$8+1)-INDEX($D$5:$H$5,0,O$8))+N81)))</f>
        <v>864.77958996918915</v>
      </c>
      <c r="P81" s="8">
        <f t="shared" ref="P81:P89" si="45">IF(P$8=-1,Q81,IF(P$8=99,O81,IF(P$8=0,INDEX($E81:$I81,0,P$6),(INDEX($E81:$I81,0,P$8+1)-INDEX($E81:$I81,0,P$8))/(INDEX($D$5:$H$5,0,P$8+1)-INDEX($D$5:$H$5,0,P$8))+O81)))</f>
        <v>864.77958996918915</v>
      </c>
      <c r="Q81" s="8">
        <f t="shared" ref="Q81:Q89" si="46">IF(Q$8=-1,R81,IF(Q$8=99,P81,IF(Q$8=0,INDEX($E81:$I81,0,Q$6),(INDEX($E81:$I81,0,Q$8+1)-INDEX($E81:$I81,0,Q$8))/(INDEX($D$5:$H$5,0,Q$8+1)-INDEX($D$5:$H$5,0,Q$8))+P81)))</f>
        <v>864.77958996918915</v>
      </c>
      <c r="R81" s="8">
        <f t="shared" ref="R81:R89" si="47">IF(R$8=-1,S81,IF(R$8=99,Q81,IF(R$8=0,INDEX($E81:$I81,0,R$6),(INDEX($E81:$I81,0,R$8+1)-INDEX($E81:$I81,0,R$8))/(INDEX($D$5:$H$5,0,R$8+1)-INDEX($D$5:$H$5,0,R$8))+Q81)))</f>
        <v>864.77958996918915</v>
      </c>
      <c r="S81" s="8">
        <f t="shared" ref="S81:S89" si="48">IF(S$8=-1,T81,IF(S$8=99,R81,IF(S$8=0,INDEX($E81:$I81,0,S$6),(INDEX($E81:$I81,0,S$8+1)-INDEX($E81:$I81,0,S$8))/(INDEX($D$5:$H$5,0,S$8+1)-INDEX($D$5:$H$5,0,S$8))+R81)))</f>
        <v>843.16010021995942</v>
      </c>
      <c r="T81" s="8">
        <f t="shared" ref="T81:T89" si="49">IF(T$8=-1,U81,IF(T$8=99,S81,IF(T$8=0,INDEX($E81:$I81,0,T$6),(INDEX($E81:$I81,0,T$8+1)-INDEX($E81:$I81,0,T$8))/(INDEX($D$5:$H$5,0,T$8+1)-INDEX($D$5:$H$5,0,T$8))+S81)))</f>
        <v>821.54061047072969</v>
      </c>
      <c r="U81" s="8">
        <f t="shared" ref="U81:U89" si="50">IF(U$8=-1,V81,IF(U$8=99,T81,IF(U$8=0,INDEX($E81:$I81,0,U$6),(INDEX($E81:$I81,0,U$8+1)-INDEX($E81:$I81,0,U$8))/(INDEX($D$5:$H$5,0,U$8+1)-INDEX($D$5:$H$5,0,U$8))+T81)))</f>
        <v>799.92112072149996</v>
      </c>
      <c r="V81" s="8">
        <f t="shared" ref="V81:V89" si="51">IF(V$8=-1,W81,IF(V$8=99,U81,IF(V$8=0,INDEX($E81:$I81,0,V$6),(INDEX($E81:$I81,0,V$8+1)-INDEX($E81:$I81,0,V$8))/(INDEX($D$5:$H$5,0,V$8+1)-INDEX($D$5:$H$5,0,V$8))+U81)))</f>
        <v>778.30163097227023</v>
      </c>
      <c r="W81" s="8">
        <f t="shared" ref="W81:W89" si="52">IF(W$8=-1,X81,IF(W$8=99,V81,IF(W$8=0,INDEX($E81:$I81,0,W$6),(INDEX($E81:$I81,0,W$8+1)-INDEX($E81:$I81,0,W$8))/(INDEX($D$5:$H$5,0,W$8+1)-INDEX($D$5:$H$5,0,W$8))+V81)))</f>
        <v>756.6821412230405</v>
      </c>
      <c r="X81" s="8">
        <f t="shared" ref="X81:X89" si="53">IF(X$8=-1,Y81,IF(X$8=99,W81,IF(X$8=0,INDEX($E81:$I81,0,X$6),(INDEX($E81:$I81,0,X$8+1)-INDEX($E81:$I81,0,X$8))/(INDEX($D$5:$H$5,0,X$8+1)-INDEX($D$5:$H$5,0,X$8))+W81)))</f>
        <v>735.06265147381077</v>
      </c>
      <c r="Y81" s="8">
        <f t="shared" ref="Y81:Y89" si="54">IF(Y$8=-1,Z81,IF(Y$8=99,X81,IF(Y$8=0,INDEX($E81:$I81,0,Y$6),(INDEX($E81:$I81,0,Y$8+1)-INDEX($E81:$I81,0,Y$8))/(INDEX($D$5:$H$5,0,Y$8+1)-INDEX($D$5:$H$5,0,Y$8))+X81)))</f>
        <v>713.44316172458105</v>
      </c>
      <c r="Z81" s="8">
        <f t="shared" ref="Z81:Z89" si="55">IF(Z$8=-1,AA81,IF(Z$8=99,Y81,IF(Z$8=0,INDEX($E81:$I81,0,Z$6),(INDEX($E81:$I81,0,Z$8+1)-INDEX($E81:$I81,0,Z$8))/(INDEX($D$5:$H$5,0,Z$8+1)-INDEX($D$5:$H$5,0,Z$8))+Y81)))</f>
        <v>691.82367197535132</v>
      </c>
      <c r="AA81" s="8">
        <f t="shared" ref="AA81:AA89" si="56">IF(AA$8=-1,AB81,IF(AA$8=99,Z81,IF(AA$8=0,INDEX($E81:$I81,0,AA$6),(INDEX($E81:$I81,0,AA$8+1)-INDEX($E81:$I81,0,AA$8))/(INDEX($D$5:$H$5,0,AA$8+1)-INDEX($D$5:$H$5,0,AA$8))+Z81)))</f>
        <v>670.20418222612159</v>
      </c>
      <c r="AB81" s="8">
        <f t="shared" ref="AB81:AB89" si="57">IF(AB$8=-1,AC81,IF(AB$8=99,AA81,IF(AB$8=0,INDEX($E81:$I81,0,AB$6),(INDEX($E81:$I81,0,AB$8+1)-INDEX($E81:$I81,0,AB$8))/(INDEX($D$5:$H$5,0,AB$8+1)-INDEX($D$5:$H$5,0,AB$8))+AA81)))</f>
        <v>648.58469247689186</v>
      </c>
      <c r="AC81" s="8">
        <f t="shared" ref="AC81:AC89" si="58">IF(AC$8=-1,AD81,IF(AC$8=99,AB81,IF(AC$8=0,INDEX($E81:$I81,0,AC$6),(INDEX($E81:$I81,0,AC$8+1)-INDEX($E81:$I81,0,AC$8))/(INDEX($D$5:$H$5,0,AC$8+1)-INDEX($D$5:$H$5,0,AC$8))+AB81)))</f>
        <v>648.58469247689186</v>
      </c>
      <c r="AD81" s="8">
        <f t="shared" ref="AD81:AD89" si="59">IF(AD$8=-1,AE81,IF(AD$8=99,AC81,IF(AD$8=0,INDEX($E81:$I81,0,AD$6),(INDEX($E81:$I81,0,AD$8+1)-INDEX($E81:$I81,0,AD$8))/(INDEX($D$5:$H$5,0,AD$8+1)-INDEX($D$5:$H$5,0,AD$8))+AC81)))</f>
        <v>648.58469247689186</v>
      </c>
      <c r="AE81" s="8">
        <f t="shared" ref="AE81:AE89" si="60">IF(AE$8=-1,AF81,IF(AE$8=99,AD81,IF(AE$8=0,INDEX($E81:$I81,0,AE$6),(INDEX($E81:$I81,0,AE$8+1)-INDEX($E81:$I81,0,AE$8))/(INDEX($D$5:$H$5,0,AE$8+1)-INDEX($D$5:$H$5,0,AE$8))+AD81)))</f>
        <v>648.58469247689186</v>
      </c>
      <c r="AF81" s="8">
        <f t="shared" ref="AF81:AF89" si="61">IF(AF$8=-1,AG81,IF(AF$8=99,AE81,IF(AF$8=0,INDEX($E81:$I81,0,AF$6),(INDEX($E81:$I81,0,AF$8+1)-INDEX($E81:$I81,0,AF$8))/(INDEX($D$5:$H$5,0,AF$8+1)-INDEX($D$5:$H$5,0,AF$8))+AE81)))</f>
        <v>648.58469247689186</v>
      </c>
      <c r="AG81" s="8">
        <f t="shared" ref="AG81:AG89" si="62">IF(AG$8=-1,AH81,IF(AG$8=99,AF81,IF(AG$8=0,INDEX($E81:$I81,0,AG$6),(INDEX($E81:$I81,0,AG$8+1)-INDEX($E81:$I81,0,AG$8))/(INDEX($D$5:$H$5,0,AG$8+1)-INDEX($D$5:$H$5,0,AG$8))+AF81)))</f>
        <v>648.58469247689186</v>
      </c>
      <c r="AH81" s="8">
        <f t="shared" ref="AH81:AH89" si="63">IF(AH$8=-1,AI81,IF(AH$8=99,AG81,IF(AH$8=0,INDEX($E81:$I81,0,AH$6),(INDEX($E81:$I81,0,AH$8+1)-INDEX($E81:$I81,0,AH$8))/(INDEX($D$5:$H$5,0,AH$8+1)-INDEX($D$5:$H$5,0,AH$8))+AG81)))</f>
        <v>648.58469247689186</v>
      </c>
      <c r="AI81" s="8">
        <f t="shared" ref="AI81:AI89" si="64">IF(AI$8=-1,AJ81,IF(AI$8=99,AH81,IF(AI$8=0,INDEX($E81:$I81,0,AI$6),(INDEX($E81:$I81,0,AI$8+1)-INDEX($E81:$I81,0,AI$8))/(INDEX($D$5:$H$5,0,AI$8+1)-INDEX($D$5:$H$5,0,AI$8))+AH81)))</f>
        <v>648.58469247689186</v>
      </c>
      <c r="AJ81" s="8">
        <f t="shared" ref="AJ81:AJ89" si="65">IF(AJ$8=-1,AK81,IF(AJ$8=99,AI81,IF(AJ$8=0,INDEX($E81:$I81,0,AJ$6),(INDEX($E81:$I81,0,AJ$8+1)-INDEX($E81:$I81,0,AJ$8))/(INDEX($D$5:$H$5,0,AJ$8+1)-INDEX($D$5:$H$5,0,AJ$8))+AI81)))</f>
        <v>648.58469247689186</v>
      </c>
      <c r="AK81" s="8">
        <f t="shared" ref="AK81:AK89" si="66">IF(AK$8=-1,AL81,IF(AK$8=99,AJ81,IF(AK$8=0,INDEX($E81:$I81,0,AK$6),(INDEX($E81:$I81,0,AK$8+1)-INDEX($E81:$I81,0,AK$8))/(INDEX($D$5:$H$5,0,AK$8+1)-INDEX($D$5:$H$5,0,AK$8))+AJ81)))</f>
        <v>648.58469247689186</v>
      </c>
      <c r="AL81" s="8">
        <f t="shared" ref="AL81:AL89" si="67">IF(AL$8=-1,AM81,IF(AL$8=99,AK81,IF(AL$8=0,INDEX($E81:$I81,0,AL$6),(INDEX($E81:$I81,0,AL$8+1)-INDEX($E81:$I81,0,AL$8))/(INDEX($D$5:$H$5,0,AL$8+1)-INDEX($D$5:$H$5,0,AL$8))+AK81)))</f>
        <v>648.58469247689186</v>
      </c>
      <c r="AM81" s="8">
        <f t="shared" ref="AM81:AM89" si="68">IF(AM$8=-1,AN81,IF(AM$8=99,AL81,IF(AM$8=0,INDEX($E81:$I81,0,AM$6),(INDEX($E81:$I81,0,AM$8+1)-INDEX($E81:$I81,0,AM$8))/(INDEX($D$5:$H$5,0,AM$8+1)-INDEX($D$5:$H$5,0,AM$8))+AL81)))</f>
        <v>648.58469247689186</v>
      </c>
      <c r="AN81" s="8">
        <f t="shared" ref="AN81:AN89" si="69">IF(AN$8=-1,AO81,IF(AN$8=99,AM81,IF(AN$8=0,INDEX($E81:$I81,0,AN$6),(INDEX($E81:$I81,0,AN$8+1)-INDEX($E81:$I81,0,AN$8))/(INDEX($D$5:$H$5,0,AN$8+1)-INDEX($D$5:$H$5,0,AN$8))+AM81)))</f>
        <v>648.58469247689186</v>
      </c>
      <c r="AO81" s="8">
        <f t="shared" ref="AO81:AO89" si="70">IF(AO$8=-1,AP81,IF(AO$8=99,AN81,IF(AO$8=0,INDEX($E81:$I81,0,AO$6),(INDEX($E81:$I81,0,AO$8+1)-INDEX($E81:$I81,0,AO$8))/(INDEX($D$5:$H$5,0,AO$8+1)-INDEX($D$5:$H$5,0,AO$8))+AN81)))</f>
        <v>648.58469247689186</v>
      </c>
      <c r="AP81" s="8">
        <f t="shared" ref="AP81:AP89" si="71">IF(AP$8=-1,AQ81,IF(AP$8=99,AO81,IF(AP$8=0,INDEX($E81:$I81,0,AP$6),(INDEX($E81:$I81,0,AP$8+1)-INDEX($E81:$I81,0,AP$8))/(INDEX($D$5:$H$5,0,AP$8+1)-INDEX($D$5:$H$5,0,AP$8))+AO81)))</f>
        <v>648.58469247689186</v>
      </c>
      <c r="AQ81" s="8">
        <f t="shared" ref="AQ81:AQ89" si="72">IF(AQ$8=-1,AR81,IF(AQ$8=99,AP81,IF(AQ$8=0,INDEX($E81:$I81,0,AQ$6),(INDEX($E81:$I81,0,AQ$8+1)-INDEX($E81:$I81,0,AQ$8))/(INDEX($D$5:$H$5,0,AQ$8+1)-INDEX($D$5:$H$5,0,AQ$8))+AP81)))</f>
        <v>648.58469247689186</v>
      </c>
      <c r="AR81" s="8">
        <f t="shared" ref="AR81:AR89" si="73">IF(AR$8=-1,AS81,IF(AR$8=99,AQ81,IF(AR$8=0,INDEX($E81:$I81,0,AR$6),(INDEX($E81:$I81,0,AR$8+1)-INDEX($E81:$I81,0,AR$8))/(INDEX($D$5:$H$5,0,AR$8+1)-INDEX($D$5:$H$5,0,AR$8))+AQ81)))</f>
        <v>648.58469247689186</v>
      </c>
      <c r="AS81" s="8">
        <f t="shared" ref="AS81:AS89" si="74">IF(AS$8=-1,AT81,IF(AS$8=99,AR81,IF(AS$8=0,INDEX($E81:$I81,0,AS$6),(INDEX($E81:$I81,0,AS$8+1)-INDEX($E81:$I81,0,AS$8))/(INDEX($D$5:$H$5,0,AS$8+1)-INDEX($D$5:$H$5,0,AS$8))+AR81)))</f>
        <v>648.58469247689186</v>
      </c>
      <c r="AT81" s="8">
        <f t="shared" ref="AT81:AT89" si="75">IF(AT$8=-1,AU81,IF(AT$8=99,AS81,IF(AT$8=0,INDEX($E81:$I81,0,AT$6),(INDEX($E81:$I81,0,AT$8+1)-INDEX($E81:$I81,0,AT$8))/(INDEX($D$5:$H$5,0,AT$8+1)-INDEX($D$5:$H$5,0,AT$8))+AS81)))</f>
        <v>648.58469247689186</v>
      </c>
      <c r="AU81" s="8">
        <f t="shared" ref="AU81:AU89" si="76">IF(AU$8=-1,AV81,IF(AU$8=99,AT81,IF(AU$8=0,INDEX($E81:$I81,0,AU$6),(INDEX($E81:$I81,0,AU$8+1)-INDEX($E81:$I81,0,AU$8))/(INDEX($D$5:$H$5,0,AU$8+1)-INDEX($D$5:$H$5,0,AU$8))+AT81)))</f>
        <v>648.58469247689186</v>
      </c>
      <c r="AV81" s="8">
        <f t="shared" ref="AV81:AV89" si="77">IF(AV$8=-1,AW81,IF(AV$8=99,AU81,IF(AV$8=0,INDEX($E81:$I81,0,AV$6),(INDEX($E81:$I81,0,AV$8+1)-INDEX($E81:$I81,0,AV$8))/(INDEX($D$5:$H$5,0,AV$8+1)-INDEX($D$5:$H$5,0,AV$8))+AU81)))</f>
        <v>648.58469247689186</v>
      </c>
    </row>
    <row r="82" spans="1:48">
      <c r="A82" s="4" t="s">
        <v>16</v>
      </c>
      <c r="B82" s="174" t="s">
        <v>249</v>
      </c>
      <c r="C82" s="96" t="str">
        <f t="shared" si="38"/>
        <v>Commercial - Space Heating</v>
      </c>
      <c r="D82" s="96" t="s">
        <v>75</v>
      </c>
      <c r="E82" s="107">
        <f t="shared" ref="E82:F89" si="78">E71</f>
        <v>59.117764859369188</v>
      </c>
      <c r="F82" s="120">
        <f t="shared" si="78"/>
        <v>82.470862832548889</v>
      </c>
      <c r="G82" s="120">
        <f t="shared" si="39"/>
        <v>82.470862832548889</v>
      </c>
      <c r="H82" s="120">
        <f t="shared" ref="H82:H89" si="79">G82*(1+$H$69)</f>
        <v>61.853147124411663</v>
      </c>
      <c r="I82" s="178">
        <f t="shared" si="40"/>
        <v>61.853147124411663</v>
      </c>
      <c r="J82" s="8">
        <f t="shared" ref="J82:J89" si="80">IF(J$8=-1,K82,IF(J$8=99,I82,IF(J$8=0,INDEX($E82:$I82,0,J$6),(INDEX($E82:$I82,0,J$8+1)-INDEX($E82:$I82,0,J$8))/(INDEX($D$5:$H$5,0,J$8+1)-INDEX($D$5:$H$5,0,J$8))+I82)))</f>
        <v>59.117764859369188</v>
      </c>
      <c r="K82" s="8">
        <f t="shared" ref="K82:K89" si="81">IF(K$8=-1,L82,IF(K$8=99,J82,IF(K$8=0,INDEX($E82:$I82,0,K$6),(INDEX($E82:$I82,0,K$8+1)-INDEX($E82:$I82,0,K$8))/(INDEX($D$5:$H$5,0,K$8+1)-INDEX($D$5:$H$5,0,K$8))+J82)))</f>
        <v>63.788384454005126</v>
      </c>
      <c r="L82" s="8">
        <f t="shared" si="41"/>
        <v>68.459004048641063</v>
      </c>
      <c r="M82" s="8">
        <f t="shared" si="42"/>
        <v>73.129623643277</v>
      </c>
      <c r="N82" s="8">
        <f t="shared" si="43"/>
        <v>77.800243237912937</v>
      </c>
      <c r="O82" s="8">
        <f t="shared" si="44"/>
        <v>82.470862832548889</v>
      </c>
      <c r="P82" s="8">
        <f t="shared" si="45"/>
        <v>82.470862832548889</v>
      </c>
      <c r="Q82" s="8">
        <f t="shared" si="46"/>
        <v>82.470862832548889</v>
      </c>
      <c r="R82" s="8">
        <f t="shared" si="47"/>
        <v>82.470862832548889</v>
      </c>
      <c r="S82" s="8">
        <f t="shared" si="48"/>
        <v>80.409091261735171</v>
      </c>
      <c r="T82" s="8">
        <f t="shared" si="49"/>
        <v>78.347319690921452</v>
      </c>
      <c r="U82" s="8">
        <f t="shared" si="50"/>
        <v>76.285548120107734</v>
      </c>
      <c r="V82" s="8">
        <f t="shared" si="51"/>
        <v>74.223776549294016</v>
      </c>
      <c r="W82" s="8">
        <f t="shared" si="52"/>
        <v>72.162004978480297</v>
      </c>
      <c r="X82" s="8">
        <f t="shared" si="53"/>
        <v>70.100233407666579</v>
      </c>
      <c r="Y82" s="8">
        <f t="shared" si="54"/>
        <v>68.038461836852861</v>
      </c>
      <c r="Z82" s="8">
        <f t="shared" si="55"/>
        <v>65.976690266039142</v>
      </c>
      <c r="AA82" s="8">
        <f t="shared" si="56"/>
        <v>63.914918695225417</v>
      </c>
      <c r="AB82" s="8">
        <f t="shared" si="57"/>
        <v>61.853147124411663</v>
      </c>
      <c r="AC82" s="8">
        <f t="shared" si="58"/>
        <v>61.853147124411663</v>
      </c>
      <c r="AD82" s="8">
        <f t="shared" si="59"/>
        <v>61.853147124411663</v>
      </c>
      <c r="AE82" s="8">
        <f t="shared" si="60"/>
        <v>61.853147124411663</v>
      </c>
      <c r="AF82" s="8">
        <f t="shared" si="61"/>
        <v>61.853147124411663</v>
      </c>
      <c r="AG82" s="8">
        <f t="shared" si="62"/>
        <v>61.853147124411663</v>
      </c>
      <c r="AH82" s="8">
        <f t="shared" si="63"/>
        <v>61.853147124411663</v>
      </c>
      <c r="AI82" s="8">
        <f t="shared" si="64"/>
        <v>61.853147124411663</v>
      </c>
      <c r="AJ82" s="8">
        <f t="shared" si="65"/>
        <v>61.853147124411663</v>
      </c>
      <c r="AK82" s="8">
        <f t="shared" si="66"/>
        <v>61.853147124411663</v>
      </c>
      <c r="AL82" s="8">
        <f t="shared" si="67"/>
        <v>61.853147124411663</v>
      </c>
      <c r="AM82" s="8">
        <f t="shared" si="68"/>
        <v>61.853147124411663</v>
      </c>
      <c r="AN82" s="8">
        <f t="shared" si="69"/>
        <v>61.853147124411663</v>
      </c>
      <c r="AO82" s="8">
        <f t="shared" si="70"/>
        <v>61.853147124411663</v>
      </c>
      <c r="AP82" s="8">
        <f t="shared" si="71"/>
        <v>61.853147124411663</v>
      </c>
      <c r="AQ82" s="8">
        <f t="shared" si="72"/>
        <v>61.853147124411663</v>
      </c>
      <c r="AR82" s="8">
        <f t="shared" si="73"/>
        <v>61.853147124411663</v>
      </c>
      <c r="AS82" s="8">
        <f t="shared" si="74"/>
        <v>61.853147124411663</v>
      </c>
      <c r="AT82" s="8">
        <f t="shared" si="75"/>
        <v>61.853147124411663</v>
      </c>
      <c r="AU82" s="8">
        <f t="shared" si="76"/>
        <v>61.853147124411663</v>
      </c>
      <c r="AV82" s="8">
        <f t="shared" si="77"/>
        <v>61.853147124411663</v>
      </c>
    </row>
    <row r="83" spans="1:48">
      <c r="A83" s="4" t="s">
        <v>16</v>
      </c>
      <c r="B83" s="174" t="s">
        <v>250</v>
      </c>
      <c r="C83" s="96" t="str">
        <f t="shared" si="38"/>
        <v>Commercial - Cooking</v>
      </c>
      <c r="D83" s="96" t="s">
        <v>75</v>
      </c>
      <c r="E83" s="107">
        <f t="shared" si="78"/>
        <v>74.498085701673531</v>
      </c>
      <c r="F83" s="120">
        <f t="shared" si="78"/>
        <v>61.683981193944355</v>
      </c>
      <c r="G83" s="120">
        <f t="shared" si="39"/>
        <v>61.683981193944355</v>
      </c>
      <c r="H83" s="120">
        <f t="shared" si="79"/>
        <v>46.262985895458264</v>
      </c>
      <c r="I83" s="178">
        <f t="shared" si="40"/>
        <v>46.262985895458264</v>
      </c>
      <c r="J83" s="8">
        <f t="shared" si="80"/>
        <v>74.498085701673531</v>
      </c>
      <c r="K83" s="8">
        <f t="shared" si="81"/>
        <v>71.935264800127698</v>
      </c>
      <c r="L83" s="8">
        <f t="shared" si="41"/>
        <v>69.372443898581864</v>
      </c>
      <c r="M83" s="8">
        <f t="shared" si="42"/>
        <v>66.80962299703603</v>
      </c>
      <c r="N83" s="8">
        <f t="shared" si="43"/>
        <v>64.246802095490196</v>
      </c>
      <c r="O83" s="8">
        <f t="shared" si="44"/>
        <v>61.683981193944355</v>
      </c>
      <c r="P83" s="8">
        <f t="shared" si="45"/>
        <v>61.683981193944355</v>
      </c>
      <c r="Q83" s="8">
        <f t="shared" si="46"/>
        <v>61.683981193944355</v>
      </c>
      <c r="R83" s="8">
        <f t="shared" si="47"/>
        <v>61.683981193944355</v>
      </c>
      <c r="S83" s="8">
        <f t="shared" si="48"/>
        <v>60.141881664095749</v>
      </c>
      <c r="T83" s="8">
        <f t="shared" si="49"/>
        <v>58.599782134247143</v>
      </c>
      <c r="U83" s="8">
        <f t="shared" si="50"/>
        <v>57.057682604398536</v>
      </c>
      <c r="V83" s="8">
        <f t="shared" si="51"/>
        <v>55.51558307454993</v>
      </c>
      <c r="W83" s="8">
        <f t="shared" si="52"/>
        <v>53.973483544701324</v>
      </c>
      <c r="X83" s="8">
        <f t="shared" si="53"/>
        <v>52.431384014852718</v>
      </c>
      <c r="Y83" s="8">
        <f t="shared" si="54"/>
        <v>50.889284485004112</v>
      </c>
      <c r="Z83" s="8">
        <f t="shared" si="55"/>
        <v>49.347184955155505</v>
      </c>
      <c r="AA83" s="8">
        <f t="shared" si="56"/>
        <v>47.805085425306899</v>
      </c>
      <c r="AB83" s="8">
        <f t="shared" si="57"/>
        <v>46.262985895458264</v>
      </c>
      <c r="AC83" s="8">
        <f t="shared" si="58"/>
        <v>46.262985895458264</v>
      </c>
      <c r="AD83" s="8">
        <f t="shared" si="59"/>
        <v>46.262985895458264</v>
      </c>
      <c r="AE83" s="8">
        <f t="shared" si="60"/>
        <v>46.262985895458264</v>
      </c>
      <c r="AF83" s="8">
        <f t="shared" si="61"/>
        <v>46.262985895458264</v>
      </c>
      <c r="AG83" s="8">
        <f t="shared" si="62"/>
        <v>46.262985895458264</v>
      </c>
      <c r="AH83" s="8">
        <f t="shared" si="63"/>
        <v>46.262985895458264</v>
      </c>
      <c r="AI83" s="8">
        <f t="shared" si="64"/>
        <v>46.262985895458264</v>
      </c>
      <c r="AJ83" s="8">
        <f t="shared" si="65"/>
        <v>46.262985895458264</v>
      </c>
      <c r="AK83" s="8">
        <f t="shared" si="66"/>
        <v>46.262985895458264</v>
      </c>
      <c r="AL83" s="8">
        <f t="shared" si="67"/>
        <v>46.262985895458264</v>
      </c>
      <c r="AM83" s="8">
        <f t="shared" si="68"/>
        <v>46.262985895458264</v>
      </c>
      <c r="AN83" s="8">
        <f t="shared" si="69"/>
        <v>46.262985895458264</v>
      </c>
      <c r="AO83" s="8">
        <f t="shared" si="70"/>
        <v>46.262985895458264</v>
      </c>
      <c r="AP83" s="8">
        <f t="shared" si="71"/>
        <v>46.262985895458264</v>
      </c>
      <c r="AQ83" s="8">
        <f t="shared" si="72"/>
        <v>46.262985895458264</v>
      </c>
      <c r="AR83" s="8">
        <f t="shared" si="73"/>
        <v>46.262985895458264</v>
      </c>
      <c r="AS83" s="8">
        <f t="shared" si="74"/>
        <v>46.262985895458264</v>
      </c>
      <c r="AT83" s="8">
        <f t="shared" si="75"/>
        <v>46.262985895458264</v>
      </c>
      <c r="AU83" s="8">
        <f t="shared" si="76"/>
        <v>46.262985895458264</v>
      </c>
      <c r="AV83" s="8">
        <f t="shared" si="77"/>
        <v>46.262985895458264</v>
      </c>
    </row>
    <row r="84" spans="1:48">
      <c r="A84" s="4" t="s">
        <v>16</v>
      </c>
      <c r="B84" s="174" t="s">
        <v>251</v>
      </c>
      <c r="C84" s="96" t="str">
        <f t="shared" si="38"/>
        <v>Commercial - Lighting</v>
      </c>
      <c r="D84" s="96" t="s">
        <v>75</v>
      </c>
      <c r="E84" s="107">
        <f t="shared" si="78"/>
        <v>915.10615144128838</v>
      </c>
      <c r="F84" s="120">
        <f t="shared" si="78"/>
        <v>752.55792279474565</v>
      </c>
      <c r="G84" s="120">
        <f t="shared" si="39"/>
        <v>752.55792279474565</v>
      </c>
      <c r="H84" s="120">
        <f t="shared" si="79"/>
        <v>564.41844209605927</v>
      </c>
      <c r="I84" s="178">
        <f t="shared" si="40"/>
        <v>564.41844209605927</v>
      </c>
      <c r="J84" s="8">
        <f t="shared" si="80"/>
        <v>915.10615144128838</v>
      </c>
      <c r="K84" s="8">
        <f t="shared" si="81"/>
        <v>882.59650571197983</v>
      </c>
      <c r="L84" s="8">
        <f t="shared" si="41"/>
        <v>850.08685998267129</v>
      </c>
      <c r="M84" s="8">
        <f t="shared" si="42"/>
        <v>817.57721425336274</v>
      </c>
      <c r="N84" s="8">
        <f t="shared" si="43"/>
        <v>785.0675685240542</v>
      </c>
      <c r="O84" s="8">
        <f t="shared" si="44"/>
        <v>752.55792279474565</v>
      </c>
      <c r="P84" s="8">
        <f t="shared" si="45"/>
        <v>752.55792279474565</v>
      </c>
      <c r="Q84" s="8">
        <f t="shared" si="46"/>
        <v>752.55792279474565</v>
      </c>
      <c r="R84" s="8">
        <f t="shared" si="47"/>
        <v>752.55792279474565</v>
      </c>
      <c r="S84" s="8">
        <f t="shared" si="48"/>
        <v>733.74397472487703</v>
      </c>
      <c r="T84" s="8">
        <f t="shared" si="49"/>
        <v>714.93002665500842</v>
      </c>
      <c r="U84" s="8">
        <f t="shared" si="50"/>
        <v>696.1160785851398</v>
      </c>
      <c r="V84" s="8">
        <f t="shared" si="51"/>
        <v>677.30213051527119</v>
      </c>
      <c r="W84" s="8">
        <f t="shared" si="52"/>
        <v>658.48818244540257</v>
      </c>
      <c r="X84" s="8">
        <f t="shared" si="53"/>
        <v>639.67423437553396</v>
      </c>
      <c r="Y84" s="8">
        <f t="shared" si="54"/>
        <v>620.86028630566534</v>
      </c>
      <c r="Z84" s="8">
        <f t="shared" si="55"/>
        <v>602.04633823579672</v>
      </c>
      <c r="AA84" s="8">
        <f t="shared" si="56"/>
        <v>583.23239016592811</v>
      </c>
      <c r="AB84" s="8">
        <f t="shared" si="57"/>
        <v>564.41844209605927</v>
      </c>
      <c r="AC84" s="8">
        <f t="shared" si="58"/>
        <v>564.41844209605927</v>
      </c>
      <c r="AD84" s="8">
        <f t="shared" si="59"/>
        <v>564.41844209605927</v>
      </c>
      <c r="AE84" s="8">
        <f t="shared" si="60"/>
        <v>564.41844209605927</v>
      </c>
      <c r="AF84" s="8">
        <f t="shared" si="61"/>
        <v>564.41844209605927</v>
      </c>
      <c r="AG84" s="8">
        <f t="shared" si="62"/>
        <v>564.41844209605927</v>
      </c>
      <c r="AH84" s="8">
        <f t="shared" si="63"/>
        <v>564.41844209605927</v>
      </c>
      <c r="AI84" s="8">
        <f t="shared" si="64"/>
        <v>564.41844209605927</v>
      </c>
      <c r="AJ84" s="8">
        <f t="shared" si="65"/>
        <v>564.41844209605927</v>
      </c>
      <c r="AK84" s="8">
        <f t="shared" si="66"/>
        <v>564.41844209605927</v>
      </c>
      <c r="AL84" s="8">
        <f t="shared" si="67"/>
        <v>564.41844209605927</v>
      </c>
      <c r="AM84" s="8">
        <f t="shared" si="68"/>
        <v>564.41844209605927</v>
      </c>
      <c r="AN84" s="8">
        <f t="shared" si="69"/>
        <v>564.41844209605927</v>
      </c>
      <c r="AO84" s="8">
        <f t="shared" si="70"/>
        <v>564.41844209605927</v>
      </c>
      <c r="AP84" s="8">
        <f t="shared" si="71"/>
        <v>564.41844209605927</v>
      </c>
      <c r="AQ84" s="8">
        <f t="shared" si="72"/>
        <v>564.41844209605927</v>
      </c>
      <c r="AR84" s="8">
        <f t="shared" si="73"/>
        <v>564.41844209605927</v>
      </c>
      <c r="AS84" s="8">
        <f t="shared" si="74"/>
        <v>564.41844209605927</v>
      </c>
      <c r="AT84" s="8">
        <f t="shared" si="75"/>
        <v>564.41844209605927</v>
      </c>
      <c r="AU84" s="8">
        <f t="shared" si="76"/>
        <v>564.41844209605927</v>
      </c>
      <c r="AV84" s="8">
        <f t="shared" si="77"/>
        <v>564.41844209605927</v>
      </c>
    </row>
    <row r="85" spans="1:48">
      <c r="A85" s="4" t="s">
        <v>16</v>
      </c>
      <c r="B85" s="174" t="s">
        <v>252</v>
      </c>
      <c r="C85" s="96" t="str">
        <f t="shared" si="38"/>
        <v>Commercial - Refrigeration</v>
      </c>
      <c r="D85" s="96" t="s">
        <v>75</v>
      </c>
      <c r="E85" s="107">
        <f t="shared" si="78"/>
        <v>222.61251585750318</v>
      </c>
      <c r="F85" s="120">
        <f t="shared" si="78"/>
        <v>183.07035993362933</v>
      </c>
      <c r="G85" s="120">
        <f t="shared" si="39"/>
        <v>183.07035993362933</v>
      </c>
      <c r="H85" s="120">
        <f t="shared" si="79"/>
        <v>137.302769950222</v>
      </c>
      <c r="I85" s="178">
        <f t="shared" si="40"/>
        <v>137.302769950222</v>
      </c>
      <c r="J85" s="8">
        <f t="shared" si="80"/>
        <v>222.61251585750318</v>
      </c>
      <c r="K85" s="8">
        <f t="shared" si="81"/>
        <v>214.70408467272841</v>
      </c>
      <c r="L85" s="8">
        <f t="shared" si="41"/>
        <v>206.79565348795364</v>
      </c>
      <c r="M85" s="8">
        <f t="shared" si="42"/>
        <v>198.88722230317887</v>
      </c>
      <c r="N85" s="8">
        <f t="shared" si="43"/>
        <v>190.9787911184041</v>
      </c>
      <c r="O85" s="8">
        <f t="shared" si="44"/>
        <v>183.07035993362933</v>
      </c>
      <c r="P85" s="8">
        <f t="shared" si="45"/>
        <v>183.07035993362933</v>
      </c>
      <c r="Q85" s="8">
        <f t="shared" si="46"/>
        <v>183.07035993362933</v>
      </c>
      <c r="R85" s="8">
        <f t="shared" si="47"/>
        <v>183.07035993362933</v>
      </c>
      <c r="S85" s="8">
        <f t="shared" si="48"/>
        <v>178.49360093528861</v>
      </c>
      <c r="T85" s="8">
        <f t="shared" si="49"/>
        <v>173.91684193694789</v>
      </c>
      <c r="U85" s="8">
        <f t="shared" si="50"/>
        <v>169.34008293860717</v>
      </c>
      <c r="V85" s="8">
        <f t="shared" si="51"/>
        <v>164.76332394026645</v>
      </c>
      <c r="W85" s="8">
        <f t="shared" si="52"/>
        <v>160.18656494192572</v>
      </c>
      <c r="X85" s="8">
        <f t="shared" si="53"/>
        <v>155.609805943585</v>
      </c>
      <c r="Y85" s="8">
        <f t="shared" si="54"/>
        <v>151.03304694524428</v>
      </c>
      <c r="Z85" s="8">
        <f t="shared" si="55"/>
        <v>146.45628794690356</v>
      </c>
      <c r="AA85" s="8">
        <f t="shared" si="56"/>
        <v>141.87952894856284</v>
      </c>
      <c r="AB85" s="8">
        <f t="shared" si="57"/>
        <v>137.302769950222</v>
      </c>
      <c r="AC85" s="8">
        <f t="shared" si="58"/>
        <v>137.302769950222</v>
      </c>
      <c r="AD85" s="8">
        <f t="shared" si="59"/>
        <v>137.302769950222</v>
      </c>
      <c r="AE85" s="8">
        <f t="shared" si="60"/>
        <v>137.302769950222</v>
      </c>
      <c r="AF85" s="8">
        <f t="shared" si="61"/>
        <v>137.302769950222</v>
      </c>
      <c r="AG85" s="8">
        <f t="shared" si="62"/>
        <v>137.302769950222</v>
      </c>
      <c r="AH85" s="8">
        <f t="shared" si="63"/>
        <v>137.302769950222</v>
      </c>
      <c r="AI85" s="8">
        <f t="shared" si="64"/>
        <v>137.302769950222</v>
      </c>
      <c r="AJ85" s="8">
        <f t="shared" si="65"/>
        <v>137.302769950222</v>
      </c>
      <c r="AK85" s="8">
        <f t="shared" si="66"/>
        <v>137.302769950222</v>
      </c>
      <c r="AL85" s="8">
        <f t="shared" si="67"/>
        <v>137.302769950222</v>
      </c>
      <c r="AM85" s="8">
        <f t="shared" si="68"/>
        <v>137.302769950222</v>
      </c>
      <c r="AN85" s="8">
        <f t="shared" si="69"/>
        <v>137.302769950222</v>
      </c>
      <c r="AO85" s="8">
        <f t="shared" si="70"/>
        <v>137.302769950222</v>
      </c>
      <c r="AP85" s="8">
        <f t="shared" si="71"/>
        <v>137.302769950222</v>
      </c>
      <c r="AQ85" s="8">
        <f t="shared" si="72"/>
        <v>137.302769950222</v>
      </c>
      <c r="AR85" s="8">
        <f t="shared" si="73"/>
        <v>137.302769950222</v>
      </c>
      <c r="AS85" s="8">
        <f t="shared" si="74"/>
        <v>137.302769950222</v>
      </c>
      <c r="AT85" s="8">
        <f t="shared" si="75"/>
        <v>137.302769950222</v>
      </c>
      <c r="AU85" s="8">
        <f t="shared" si="76"/>
        <v>137.302769950222</v>
      </c>
      <c r="AV85" s="8">
        <f t="shared" si="77"/>
        <v>137.302769950222</v>
      </c>
    </row>
    <row r="86" spans="1:48">
      <c r="A86" s="4" t="s">
        <v>16</v>
      </c>
      <c r="B86" s="174" t="s">
        <v>253</v>
      </c>
      <c r="C86" s="96" t="str">
        <f t="shared" si="38"/>
        <v>Commercial - Water Heating</v>
      </c>
      <c r="D86" s="96" t="s">
        <v>75</v>
      </c>
      <c r="E86" s="107">
        <f t="shared" si="78"/>
        <v>72.906473658117989</v>
      </c>
      <c r="F86" s="120">
        <f t="shared" si="78"/>
        <v>95.432706346388613</v>
      </c>
      <c r="G86" s="120">
        <f t="shared" si="39"/>
        <v>95.432706346388613</v>
      </c>
      <c r="H86" s="120">
        <f t="shared" si="79"/>
        <v>71.57452975979146</v>
      </c>
      <c r="I86" s="178">
        <f t="shared" si="40"/>
        <v>71.57452975979146</v>
      </c>
      <c r="J86" s="8">
        <f t="shared" si="80"/>
        <v>72.906473658117989</v>
      </c>
      <c r="K86" s="8">
        <f t="shared" si="81"/>
        <v>77.411720195772119</v>
      </c>
      <c r="L86" s="8">
        <f t="shared" si="41"/>
        <v>81.91696673342625</v>
      </c>
      <c r="M86" s="8">
        <f t="shared" si="42"/>
        <v>86.422213271080381</v>
      </c>
      <c r="N86" s="8">
        <f t="shared" si="43"/>
        <v>90.927459808734511</v>
      </c>
      <c r="O86" s="8">
        <f t="shared" si="44"/>
        <v>95.432706346388613</v>
      </c>
      <c r="P86" s="8">
        <f t="shared" si="45"/>
        <v>95.432706346388613</v>
      </c>
      <c r="Q86" s="8">
        <f t="shared" si="46"/>
        <v>95.432706346388613</v>
      </c>
      <c r="R86" s="8">
        <f t="shared" si="47"/>
        <v>95.432706346388613</v>
      </c>
      <c r="S86" s="8">
        <f t="shared" si="48"/>
        <v>93.046888687728895</v>
      </c>
      <c r="T86" s="8">
        <f t="shared" si="49"/>
        <v>90.661071029069177</v>
      </c>
      <c r="U86" s="8">
        <f t="shared" si="50"/>
        <v>88.275253370409459</v>
      </c>
      <c r="V86" s="8">
        <f t="shared" si="51"/>
        <v>85.889435711749741</v>
      </c>
      <c r="W86" s="8">
        <f t="shared" si="52"/>
        <v>83.503618053090022</v>
      </c>
      <c r="X86" s="8">
        <f t="shared" si="53"/>
        <v>81.117800394430304</v>
      </c>
      <c r="Y86" s="8">
        <f t="shared" si="54"/>
        <v>78.731982735770586</v>
      </c>
      <c r="Z86" s="8">
        <f t="shared" si="55"/>
        <v>76.346165077110868</v>
      </c>
      <c r="AA86" s="8">
        <f t="shared" si="56"/>
        <v>73.96034741845115</v>
      </c>
      <c r="AB86" s="8">
        <f t="shared" si="57"/>
        <v>71.57452975979146</v>
      </c>
      <c r="AC86" s="8">
        <f t="shared" si="58"/>
        <v>71.57452975979146</v>
      </c>
      <c r="AD86" s="8">
        <f t="shared" si="59"/>
        <v>71.57452975979146</v>
      </c>
      <c r="AE86" s="8">
        <f t="shared" si="60"/>
        <v>71.57452975979146</v>
      </c>
      <c r="AF86" s="8">
        <f t="shared" si="61"/>
        <v>71.57452975979146</v>
      </c>
      <c r="AG86" s="8">
        <f t="shared" si="62"/>
        <v>71.57452975979146</v>
      </c>
      <c r="AH86" s="8">
        <f t="shared" si="63"/>
        <v>71.57452975979146</v>
      </c>
      <c r="AI86" s="8">
        <f t="shared" si="64"/>
        <v>71.57452975979146</v>
      </c>
      <c r="AJ86" s="8">
        <f t="shared" si="65"/>
        <v>71.57452975979146</v>
      </c>
      <c r="AK86" s="8">
        <f t="shared" si="66"/>
        <v>71.57452975979146</v>
      </c>
      <c r="AL86" s="8">
        <f t="shared" si="67"/>
        <v>71.57452975979146</v>
      </c>
      <c r="AM86" s="8">
        <f t="shared" si="68"/>
        <v>71.57452975979146</v>
      </c>
      <c r="AN86" s="8">
        <f t="shared" si="69"/>
        <v>71.57452975979146</v>
      </c>
      <c r="AO86" s="8">
        <f t="shared" si="70"/>
        <v>71.57452975979146</v>
      </c>
      <c r="AP86" s="8">
        <f t="shared" si="71"/>
        <v>71.57452975979146</v>
      </c>
      <c r="AQ86" s="8">
        <f t="shared" si="72"/>
        <v>71.57452975979146</v>
      </c>
      <c r="AR86" s="8">
        <f t="shared" si="73"/>
        <v>71.57452975979146</v>
      </c>
      <c r="AS86" s="8">
        <f t="shared" si="74"/>
        <v>71.57452975979146</v>
      </c>
      <c r="AT86" s="8">
        <f t="shared" si="75"/>
        <v>71.57452975979146</v>
      </c>
      <c r="AU86" s="8">
        <f t="shared" si="76"/>
        <v>71.57452975979146</v>
      </c>
      <c r="AV86" s="8">
        <f t="shared" si="77"/>
        <v>71.57452975979146</v>
      </c>
    </row>
    <row r="87" spans="1:48">
      <c r="A87" s="4" t="s">
        <v>16</v>
      </c>
      <c r="B87" s="174" t="s">
        <v>254</v>
      </c>
      <c r="C87" s="124" t="str">
        <f t="shared" si="38"/>
        <v>Commercial - Public lights</v>
      </c>
      <c r="D87" s="124" t="s">
        <v>75</v>
      </c>
      <c r="E87" s="204">
        <f t="shared" si="78"/>
        <v>0</v>
      </c>
      <c r="F87" s="120">
        <f t="shared" si="78"/>
        <v>0</v>
      </c>
      <c r="G87" s="205">
        <f t="shared" si="39"/>
        <v>0</v>
      </c>
      <c r="H87" s="120">
        <f t="shared" si="79"/>
        <v>0</v>
      </c>
      <c r="I87" s="206">
        <f t="shared" si="40"/>
        <v>0</v>
      </c>
      <c r="J87" s="8">
        <f t="shared" si="80"/>
        <v>0</v>
      </c>
      <c r="K87" s="8">
        <f t="shared" si="81"/>
        <v>0</v>
      </c>
      <c r="L87" s="8">
        <f t="shared" si="41"/>
        <v>0</v>
      </c>
      <c r="M87" s="8">
        <f>IF(M$8=-1,N87,IF(M$8=99,L87,IF(M$8=0,INDEX($E87:$I87,0,M$6),(INDEX($E87:$I87,0,M$8+1)-INDEX($E87:$I87,0,M$8))/(INDEX($D$5:$H$5,0,M$8+1)-INDEX($D$5:$H$5,0,M$8))+L87)))</f>
        <v>0</v>
      </c>
      <c r="N87" s="8">
        <f t="shared" si="43"/>
        <v>0</v>
      </c>
      <c r="O87" s="8">
        <f t="shared" si="44"/>
        <v>0</v>
      </c>
      <c r="P87" s="8">
        <f t="shared" si="45"/>
        <v>0</v>
      </c>
      <c r="Q87" s="8">
        <f t="shared" si="46"/>
        <v>0</v>
      </c>
      <c r="R87" s="8">
        <f t="shared" si="47"/>
        <v>0</v>
      </c>
      <c r="S87" s="8">
        <f t="shared" si="48"/>
        <v>0</v>
      </c>
      <c r="T87" s="8">
        <f t="shared" si="49"/>
        <v>0</v>
      </c>
      <c r="U87" s="8">
        <f t="shared" si="50"/>
        <v>0</v>
      </c>
      <c r="V87" s="8">
        <f t="shared" si="51"/>
        <v>0</v>
      </c>
      <c r="W87" s="8">
        <f t="shared" si="52"/>
        <v>0</v>
      </c>
      <c r="X87" s="8">
        <f t="shared" si="53"/>
        <v>0</v>
      </c>
      <c r="Y87" s="8">
        <f t="shared" si="54"/>
        <v>0</v>
      </c>
      <c r="Z87" s="8">
        <f t="shared" si="55"/>
        <v>0</v>
      </c>
      <c r="AA87" s="8">
        <f t="shared" si="56"/>
        <v>0</v>
      </c>
      <c r="AB87" s="8">
        <f t="shared" si="57"/>
        <v>0</v>
      </c>
      <c r="AC87" s="8">
        <f t="shared" si="58"/>
        <v>0</v>
      </c>
      <c r="AD87" s="8">
        <f t="shared" si="59"/>
        <v>0</v>
      </c>
      <c r="AE87" s="8">
        <f t="shared" si="60"/>
        <v>0</v>
      </c>
      <c r="AF87" s="8">
        <f t="shared" si="61"/>
        <v>0</v>
      </c>
      <c r="AG87" s="8">
        <f t="shared" si="62"/>
        <v>0</v>
      </c>
      <c r="AH87" s="8">
        <f t="shared" si="63"/>
        <v>0</v>
      </c>
      <c r="AI87" s="8">
        <f t="shared" si="64"/>
        <v>0</v>
      </c>
      <c r="AJ87" s="8">
        <f t="shared" si="65"/>
        <v>0</v>
      </c>
      <c r="AK87" s="8">
        <f t="shared" si="66"/>
        <v>0</v>
      </c>
      <c r="AL87" s="8">
        <f t="shared" si="67"/>
        <v>0</v>
      </c>
      <c r="AM87" s="8">
        <f t="shared" si="68"/>
        <v>0</v>
      </c>
      <c r="AN87" s="8">
        <f t="shared" si="69"/>
        <v>0</v>
      </c>
      <c r="AO87" s="8">
        <f t="shared" si="70"/>
        <v>0</v>
      </c>
      <c r="AP87" s="8">
        <f t="shared" si="71"/>
        <v>0</v>
      </c>
      <c r="AQ87" s="8">
        <f t="shared" si="72"/>
        <v>0</v>
      </c>
      <c r="AR87" s="8">
        <f t="shared" si="73"/>
        <v>0</v>
      </c>
      <c r="AS87" s="8">
        <f t="shared" si="74"/>
        <v>0</v>
      </c>
      <c r="AT87" s="8">
        <f t="shared" si="75"/>
        <v>0</v>
      </c>
      <c r="AU87" s="8">
        <f t="shared" si="76"/>
        <v>0</v>
      </c>
      <c r="AV87" s="8">
        <f t="shared" si="77"/>
        <v>0</v>
      </c>
    </row>
    <row r="88" spans="1:48">
      <c r="A88" s="4" t="s">
        <v>16</v>
      </c>
      <c r="B88" s="174" t="s">
        <v>255</v>
      </c>
      <c r="C88" s="124" t="str">
        <f t="shared" si="38"/>
        <v>Commercial - Public Water</v>
      </c>
      <c r="D88" s="124" t="s">
        <v>75</v>
      </c>
      <c r="E88" s="204">
        <f t="shared" si="78"/>
        <v>0</v>
      </c>
      <c r="F88" s="120">
        <f t="shared" si="78"/>
        <v>0</v>
      </c>
      <c r="G88" s="205">
        <f t="shared" si="39"/>
        <v>0</v>
      </c>
      <c r="H88" s="120">
        <f t="shared" si="79"/>
        <v>0</v>
      </c>
      <c r="I88" s="206">
        <f t="shared" si="40"/>
        <v>0</v>
      </c>
      <c r="J88" s="8">
        <f t="shared" si="80"/>
        <v>0</v>
      </c>
      <c r="K88" s="8">
        <f t="shared" si="81"/>
        <v>0</v>
      </c>
      <c r="L88" s="8">
        <f t="shared" si="41"/>
        <v>0</v>
      </c>
      <c r="M88" s="8">
        <f>IF(M$8=-1,N88,IF(M$8=99,L88,IF(M$8=0,INDEX($E88:$I88,0,M$6),(INDEX($E88:$I88,0,M$8+1)-INDEX($E88:$I88,0,M$8))/(INDEX($D$5:$H$5,0,M$8+1)-INDEX($D$5:$H$5,0,M$8))+L88)))</f>
        <v>0</v>
      </c>
      <c r="N88" s="8">
        <f t="shared" si="43"/>
        <v>0</v>
      </c>
      <c r="O88" s="8">
        <f t="shared" si="44"/>
        <v>0</v>
      </c>
      <c r="P88" s="8">
        <f t="shared" si="45"/>
        <v>0</v>
      </c>
      <c r="Q88" s="8">
        <f t="shared" si="46"/>
        <v>0</v>
      </c>
      <c r="R88" s="8">
        <f t="shared" si="47"/>
        <v>0</v>
      </c>
      <c r="S88" s="8">
        <f t="shared" si="48"/>
        <v>0</v>
      </c>
      <c r="T88" s="8">
        <f t="shared" si="49"/>
        <v>0</v>
      </c>
      <c r="U88" s="8">
        <f t="shared" si="50"/>
        <v>0</v>
      </c>
      <c r="V88" s="8">
        <f t="shared" si="51"/>
        <v>0</v>
      </c>
      <c r="W88" s="8">
        <f t="shared" si="52"/>
        <v>0</v>
      </c>
      <c r="X88" s="8">
        <f t="shared" si="53"/>
        <v>0</v>
      </c>
      <c r="Y88" s="8">
        <f t="shared" si="54"/>
        <v>0</v>
      </c>
      <c r="Z88" s="8">
        <f t="shared" si="55"/>
        <v>0</v>
      </c>
      <c r="AA88" s="8">
        <f t="shared" si="56"/>
        <v>0</v>
      </c>
      <c r="AB88" s="8">
        <f t="shared" si="57"/>
        <v>0</v>
      </c>
      <c r="AC88" s="8">
        <f t="shared" si="58"/>
        <v>0</v>
      </c>
      <c r="AD88" s="8">
        <f t="shared" si="59"/>
        <v>0</v>
      </c>
      <c r="AE88" s="8">
        <f t="shared" si="60"/>
        <v>0</v>
      </c>
      <c r="AF88" s="8">
        <f t="shared" si="61"/>
        <v>0</v>
      </c>
      <c r="AG88" s="8">
        <f t="shared" si="62"/>
        <v>0</v>
      </c>
      <c r="AH88" s="8">
        <f t="shared" si="63"/>
        <v>0</v>
      </c>
      <c r="AI88" s="8">
        <f t="shared" si="64"/>
        <v>0</v>
      </c>
      <c r="AJ88" s="8">
        <f t="shared" si="65"/>
        <v>0</v>
      </c>
      <c r="AK88" s="8">
        <f t="shared" si="66"/>
        <v>0</v>
      </c>
      <c r="AL88" s="8">
        <f t="shared" si="67"/>
        <v>0</v>
      </c>
      <c r="AM88" s="8">
        <f t="shared" si="68"/>
        <v>0</v>
      </c>
      <c r="AN88" s="8">
        <f t="shared" si="69"/>
        <v>0</v>
      </c>
      <c r="AO88" s="8">
        <f t="shared" si="70"/>
        <v>0</v>
      </c>
      <c r="AP88" s="8">
        <f t="shared" si="71"/>
        <v>0</v>
      </c>
      <c r="AQ88" s="8">
        <f t="shared" si="72"/>
        <v>0</v>
      </c>
      <c r="AR88" s="8">
        <f t="shared" si="73"/>
        <v>0</v>
      </c>
      <c r="AS88" s="8">
        <f t="shared" si="74"/>
        <v>0</v>
      </c>
      <c r="AT88" s="8">
        <f t="shared" si="75"/>
        <v>0</v>
      </c>
      <c r="AU88" s="8">
        <f t="shared" si="76"/>
        <v>0</v>
      </c>
      <c r="AV88" s="8">
        <f t="shared" si="77"/>
        <v>0</v>
      </c>
    </row>
    <row r="89" spans="1:48">
      <c r="A89" s="4" t="s">
        <v>16</v>
      </c>
      <c r="B89" s="174" t="s">
        <v>256</v>
      </c>
      <c r="C89" s="96" t="str">
        <f t="shared" si="38"/>
        <v>Commercial - Other</v>
      </c>
      <c r="D89" s="102" t="s">
        <v>75</v>
      </c>
      <c r="E89" s="107">
        <f t="shared" si="78"/>
        <v>141.24997285391134</v>
      </c>
      <c r="F89" s="120">
        <f t="shared" si="78"/>
        <v>122.21640392690337</v>
      </c>
      <c r="G89" s="120">
        <f t="shared" si="39"/>
        <v>122.21640392690337</v>
      </c>
      <c r="H89" s="120">
        <f t="shared" si="79"/>
        <v>91.66230294517753</v>
      </c>
      <c r="I89" s="178">
        <f t="shared" si="40"/>
        <v>91.66230294517753</v>
      </c>
      <c r="J89" s="8">
        <f t="shared" si="80"/>
        <v>141.24997285391134</v>
      </c>
      <c r="K89" s="8">
        <f t="shared" si="81"/>
        <v>137.44325906850975</v>
      </c>
      <c r="L89" s="8">
        <f t="shared" si="41"/>
        <v>133.63654528310815</v>
      </c>
      <c r="M89" s="8">
        <f>IF(M$8=-1,N89,IF(M$8=99,L89,IF(M$8=0,INDEX($E89:$I89,0,M$6),(INDEX($E89:$I89,0,M$8+1)-INDEX($E89:$I89,0,M$8))/(INDEX($D$5:$H$5,0,M$8+1)-INDEX($D$5:$H$5,0,M$8))+L89)))</f>
        <v>129.82983149770655</v>
      </c>
      <c r="N89" s="8">
        <f t="shared" si="43"/>
        <v>126.02311771230495</v>
      </c>
      <c r="O89" s="8">
        <f t="shared" si="44"/>
        <v>122.21640392690337</v>
      </c>
      <c r="P89" s="8">
        <f t="shared" si="45"/>
        <v>122.21640392690337</v>
      </c>
      <c r="Q89" s="8">
        <f t="shared" si="46"/>
        <v>122.21640392690337</v>
      </c>
      <c r="R89" s="8">
        <f t="shared" si="47"/>
        <v>122.21640392690337</v>
      </c>
      <c r="S89" s="8">
        <f t="shared" si="48"/>
        <v>119.16099382873078</v>
      </c>
      <c r="T89" s="8">
        <f t="shared" si="49"/>
        <v>116.10558373055819</v>
      </c>
      <c r="U89" s="8">
        <f t="shared" si="50"/>
        <v>113.05017363238561</v>
      </c>
      <c r="V89" s="8">
        <f t="shared" si="51"/>
        <v>109.99476353421302</v>
      </c>
      <c r="W89" s="8">
        <f t="shared" si="52"/>
        <v>106.93935343604043</v>
      </c>
      <c r="X89" s="8">
        <f t="shared" si="53"/>
        <v>103.88394333786785</v>
      </c>
      <c r="Y89" s="8">
        <f t="shared" si="54"/>
        <v>100.82853323969526</v>
      </c>
      <c r="Z89" s="8">
        <f t="shared" si="55"/>
        <v>97.773123141522674</v>
      </c>
      <c r="AA89" s="8">
        <f t="shared" si="56"/>
        <v>94.717713043350088</v>
      </c>
      <c r="AB89" s="8">
        <f t="shared" si="57"/>
        <v>91.66230294517753</v>
      </c>
      <c r="AC89" s="8">
        <f t="shared" si="58"/>
        <v>91.66230294517753</v>
      </c>
      <c r="AD89" s="8">
        <f t="shared" si="59"/>
        <v>91.66230294517753</v>
      </c>
      <c r="AE89" s="8">
        <f t="shared" si="60"/>
        <v>91.66230294517753</v>
      </c>
      <c r="AF89" s="8">
        <f t="shared" si="61"/>
        <v>91.66230294517753</v>
      </c>
      <c r="AG89" s="8">
        <f t="shared" si="62"/>
        <v>91.66230294517753</v>
      </c>
      <c r="AH89" s="8">
        <f t="shared" si="63"/>
        <v>91.66230294517753</v>
      </c>
      <c r="AI89" s="8">
        <f t="shared" si="64"/>
        <v>91.66230294517753</v>
      </c>
      <c r="AJ89" s="8">
        <f t="shared" si="65"/>
        <v>91.66230294517753</v>
      </c>
      <c r="AK89" s="8">
        <f t="shared" si="66"/>
        <v>91.66230294517753</v>
      </c>
      <c r="AL89" s="8">
        <f t="shared" si="67"/>
        <v>91.66230294517753</v>
      </c>
      <c r="AM89" s="8">
        <f t="shared" si="68"/>
        <v>91.66230294517753</v>
      </c>
      <c r="AN89" s="8">
        <f t="shared" si="69"/>
        <v>91.66230294517753</v>
      </c>
      <c r="AO89" s="8">
        <f t="shared" si="70"/>
        <v>91.66230294517753</v>
      </c>
      <c r="AP89" s="8">
        <f t="shared" si="71"/>
        <v>91.66230294517753</v>
      </c>
      <c r="AQ89" s="8">
        <f t="shared" si="72"/>
        <v>91.66230294517753</v>
      </c>
      <c r="AR89" s="8">
        <f t="shared" si="73"/>
        <v>91.66230294517753</v>
      </c>
      <c r="AS89" s="8">
        <f t="shared" si="74"/>
        <v>91.66230294517753</v>
      </c>
      <c r="AT89" s="8">
        <f t="shared" si="75"/>
        <v>91.66230294517753</v>
      </c>
      <c r="AU89" s="8">
        <f t="shared" si="76"/>
        <v>91.66230294517753</v>
      </c>
      <c r="AV89" s="8">
        <f t="shared" si="77"/>
        <v>91.66230294517753</v>
      </c>
    </row>
    <row r="90" spans="1:48">
      <c r="A90" s="4" t="s">
        <v>16</v>
      </c>
      <c r="B90" s="174"/>
      <c r="D90" s="102"/>
      <c r="E90" s="102"/>
      <c r="F90" s="102"/>
      <c r="G90" s="102"/>
      <c r="H90" s="102"/>
      <c r="I90" s="184"/>
      <c r="J90" s="102"/>
      <c r="K90" s="102"/>
      <c r="L90" s="102"/>
      <c r="M90" s="102"/>
      <c r="N90" s="102"/>
      <c r="O90" s="102"/>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4" t="s">
        <v>16</v>
      </c>
      <c r="B91" s="117" t="s">
        <v>497</v>
      </c>
      <c r="C91" s="93"/>
      <c r="D91" s="94"/>
      <c r="E91" s="118"/>
      <c r="F91" s="118"/>
      <c r="G91" s="118"/>
      <c r="H91" s="215">
        <f>VLOOKUP($L$57,$K$59:$O$66,4)</f>
        <v>-0.25</v>
      </c>
      <c r="I91" s="216">
        <f>VLOOKUP($L$57,$K$59:$O$66,5)</f>
        <v>-0.2</v>
      </c>
      <c r="J91" s="102"/>
      <c r="K91" s="102"/>
      <c r="L91" s="102"/>
      <c r="M91" s="102"/>
      <c r="N91" s="102"/>
      <c r="O91" s="102"/>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4" t="s">
        <v>16</v>
      </c>
      <c r="B92" s="174" t="str">
        <f>B70</f>
        <v>CEC</v>
      </c>
      <c r="C92" s="96" t="str">
        <f t="shared" ref="C92:C100" si="82">C81</f>
        <v>Commercial - Cooling</v>
      </c>
      <c r="D92" s="96" t="s">
        <v>75</v>
      </c>
      <c r="E92" s="107">
        <f>E81</f>
        <v>1051.567060091292</v>
      </c>
      <c r="F92" s="120">
        <f>F81</f>
        <v>864.77958996918915</v>
      </c>
      <c r="G92" s="120">
        <f t="shared" ref="G92:G100" si="83">F92</f>
        <v>864.77958996918915</v>
      </c>
      <c r="H92" s="120">
        <f t="shared" ref="H92:H97" si="84">G92*(1+$H$91)</f>
        <v>648.58469247689186</v>
      </c>
      <c r="I92" s="178">
        <f>H92</f>
        <v>648.58469247689186</v>
      </c>
      <c r="J92" s="8">
        <f>IF(J$8=-1,K92,IF(J$8=99,I92,IF(J$8=0,INDEX($E92:$I92,0,J$6),(INDEX($E92:$I92,0,J$8+1)-INDEX($E92:$I92,0,J$8))/(INDEX($D$5:$H$5,0,J$8+1)-INDEX($D$5:$H$5,0,J$8))+I92)))</f>
        <v>1051.567060091292</v>
      </c>
      <c r="K92" s="8">
        <f>IF(K$8=-1,L92,IF(K$8=99,J92,IF(K$8=0,INDEX($E92:$I92,0,K$6),(INDEX($E92:$I92,0,K$8+1)-INDEX($E92:$I92,0,K$8))/(INDEX($D$5:$H$5,0,K$8+1)-INDEX($D$5:$H$5,0,K$8))+J92)))</f>
        <v>1014.2095660668714</v>
      </c>
      <c r="L92" s="8">
        <f t="shared" ref="L92:L100" si="85">IF(L$8=-1,M92,IF(L$8=99,K92,IF(L$8=0,INDEX($E92:$I92,0,L$6),(INDEX($E92:$I92,0,L$8+1)-INDEX($E92:$I92,0,L$8))/(INDEX($D$5:$H$5,0,L$8+1)-INDEX($D$5:$H$5,0,L$8))+K92)))</f>
        <v>976.8520720424508</v>
      </c>
      <c r="M92" s="8">
        <f t="shared" ref="M92:M97" si="86">IF(M$8=-1,N92,IF(M$8=99,L92,IF(M$8=0,INDEX($E92:$I92,0,M$6),(INDEX($E92:$I92,0,M$8+1)-INDEX($E92:$I92,0,M$8))/(INDEX($D$5:$H$5,0,M$8+1)-INDEX($D$5:$H$5,0,M$8))+L92)))</f>
        <v>939.49457801803021</v>
      </c>
      <c r="N92" s="8">
        <f t="shared" ref="N92:N100" si="87">IF(N$8=-1,O92,IF(N$8=99,M92,IF(N$8=0,INDEX($E92:$I92,0,N$6),(INDEX($E92:$I92,0,N$8+1)-INDEX($E92:$I92,0,N$8))/(INDEX($D$5:$H$5,0,N$8+1)-INDEX($D$5:$H$5,0,N$8))+M92)))</f>
        <v>902.13708399360962</v>
      </c>
      <c r="O92" s="8">
        <f t="shared" ref="O92:O100" si="88">IF(O$8=-1,P92,IF(O$8=99,N92,IF(O$8=0,INDEX($E92:$I92,0,O$6),(INDEX($E92:$I92,0,O$8+1)-INDEX($E92:$I92,0,O$8))/(INDEX($D$5:$H$5,0,O$8+1)-INDEX($D$5:$H$5,0,O$8))+N92)))</f>
        <v>864.77958996918915</v>
      </c>
      <c r="P92" s="8">
        <f t="shared" ref="P92:P100" si="89">IF(P$8=-1,Q92,IF(P$8=99,O92,IF(P$8=0,INDEX($E92:$I92,0,P$6),(INDEX($E92:$I92,0,P$8+1)-INDEX($E92:$I92,0,P$8))/(INDEX($D$5:$H$5,0,P$8+1)-INDEX($D$5:$H$5,0,P$8))+O92)))</f>
        <v>864.77958996918915</v>
      </c>
      <c r="Q92" s="8">
        <f t="shared" ref="Q92:Q100" si="90">IF(Q$8=-1,R92,IF(Q$8=99,P92,IF(Q$8=0,INDEX($E92:$I92,0,Q$6),(INDEX($E92:$I92,0,Q$8+1)-INDEX($E92:$I92,0,Q$8))/(INDEX($D$5:$H$5,0,Q$8+1)-INDEX($D$5:$H$5,0,Q$8))+P92)))</f>
        <v>864.77958996918915</v>
      </c>
      <c r="R92" s="8">
        <f t="shared" ref="R92:R100" si="91">IF(R$8=-1,S92,IF(R$8=99,Q92,IF(R$8=0,INDEX($E92:$I92,0,R$6),(INDEX($E92:$I92,0,R$8+1)-INDEX($E92:$I92,0,R$8))/(INDEX($D$5:$H$5,0,R$8+1)-INDEX($D$5:$H$5,0,R$8))+Q92)))</f>
        <v>864.77958996918915</v>
      </c>
      <c r="S92" s="8">
        <f t="shared" ref="S92:S100" si="92">IF(S$8=-1,T92,IF(S$8=99,R92,IF(S$8=0,INDEX($E92:$I92,0,S$6),(INDEX($E92:$I92,0,S$8+1)-INDEX($E92:$I92,0,S$8))/(INDEX($D$5:$H$5,0,S$8+1)-INDEX($D$5:$H$5,0,S$8))+R92)))</f>
        <v>843.16010021995942</v>
      </c>
      <c r="T92" s="8">
        <f t="shared" ref="T92:T100" si="93">IF(T$8=-1,U92,IF(T$8=99,S92,IF(T$8=0,INDEX($E92:$I92,0,T$6),(INDEX($E92:$I92,0,T$8+1)-INDEX($E92:$I92,0,T$8))/(INDEX($D$5:$H$5,0,T$8+1)-INDEX($D$5:$H$5,0,T$8))+S92)))</f>
        <v>821.54061047072969</v>
      </c>
      <c r="U92" s="8">
        <f t="shared" ref="U92:U100" si="94">IF(U$8=-1,V92,IF(U$8=99,T92,IF(U$8=0,INDEX($E92:$I92,0,U$6),(INDEX($E92:$I92,0,U$8+1)-INDEX($E92:$I92,0,U$8))/(INDEX($D$5:$H$5,0,U$8+1)-INDEX($D$5:$H$5,0,U$8))+T92)))</f>
        <v>799.92112072149996</v>
      </c>
      <c r="V92" s="8">
        <f t="shared" ref="V92:V100" si="95">IF(V$8=-1,W92,IF(V$8=99,U92,IF(V$8=0,INDEX($E92:$I92,0,V$6),(INDEX($E92:$I92,0,V$8+1)-INDEX($E92:$I92,0,V$8))/(INDEX($D$5:$H$5,0,V$8+1)-INDEX($D$5:$H$5,0,V$8))+U92)))</f>
        <v>778.30163097227023</v>
      </c>
      <c r="W92" s="8">
        <f t="shared" ref="W92:W100" si="96">IF(W$8=-1,X92,IF(W$8=99,V92,IF(W$8=0,INDEX($E92:$I92,0,W$6),(INDEX($E92:$I92,0,W$8+1)-INDEX($E92:$I92,0,W$8))/(INDEX($D$5:$H$5,0,W$8+1)-INDEX($D$5:$H$5,0,W$8))+V92)))</f>
        <v>756.6821412230405</v>
      </c>
      <c r="X92" s="8">
        <f t="shared" ref="X92:X100" si="97">IF(X$8=-1,Y92,IF(X$8=99,W92,IF(X$8=0,INDEX($E92:$I92,0,X$6),(INDEX($E92:$I92,0,X$8+1)-INDEX($E92:$I92,0,X$8))/(INDEX($D$5:$H$5,0,X$8+1)-INDEX($D$5:$H$5,0,X$8))+W92)))</f>
        <v>735.06265147381077</v>
      </c>
      <c r="Y92" s="8">
        <f t="shared" ref="Y92:Y100" si="98">IF(Y$8=-1,Z92,IF(Y$8=99,X92,IF(Y$8=0,INDEX($E92:$I92,0,Y$6),(INDEX($E92:$I92,0,Y$8+1)-INDEX($E92:$I92,0,Y$8))/(INDEX($D$5:$H$5,0,Y$8+1)-INDEX($D$5:$H$5,0,Y$8))+X92)))</f>
        <v>713.44316172458105</v>
      </c>
      <c r="Z92" s="8">
        <f t="shared" ref="Z92:Z100" si="99">IF(Z$8=-1,AA92,IF(Z$8=99,Y92,IF(Z$8=0,INDEX($E92:$I92,0,Z$6),(INDEX($E92:$I92,0,Z$8+1)-INDEX($E92:$I92,0,Z$8))/(INDEX($D$5:$H$5,0,Z$8+1)-INDEX($D$5:$H$5,0,Z$8))+Y92)))</f>
        <v>691.82367197535132</v>
      </c>
      <c r="AA92" s="8">
        <f t="shared" ref="AA92:AA100" si="100">IF(AA$8=-1,AB92,IF(AA$8=99,Z92,IF(AA$8=0,INDEX($E92:$I92,0,AA$6),(INDEX($E92:$I92,0,AA$8+1)-INDEX($E92:$I92,0,AA$8))/(INDEX($D$5:$H$5,0,AA$8+1)-INDEX($D$5:$H$5,0,AA$8))+Z92)))</f>
        <v>670.20418222612159</v>
      </c>
      <c r="AB92" s="8">
        <f t="shared" ref="AB92:AB100" si="101">IF(AB$8=-1,AC92,IF(AB$8=99,AA92,IF(AB$8=0,INDEX($E92:$I92,0,AB$6),(INDEX($E92:$I92,0,AB$8+1)-INDEX($E92:$I92,0,AB$8))/(INDEX($D$5:$H$5,0,AB$8+1)-INDEX($D$5:$H$5,0,AB$8))+AA92)))</f>
        <v>648.58469247689186</v>
      </c>
      <c r="AC92" s="8">
        <f t="shared" ref="AC92:AC100" si="102">IF(AC$8=-1,AD92,IF(AC$8=99,AB92,IF(AC$8=0,INDEX($E92:$I92,0,AC$6),(INDEX($E92:$I92,0,AC$8+1)-INDEX($E92:$I92,0,AC$8))/(INDEX($D$5:$H$5,0,AC$8+1)-INDEX($D$5:$H$5,0,AC$8))+AB92)))</f>
        <v>648.58469247689186</v>
      </c>
      <c r="AD92" s="8">
        <f t="shared" ref="AD92:AD100" si="103">IF(AD$8=-1,AE92,IF(AD$8=99,AC92,IF(AD$8=0,INDEX($E92:$I92,0,AD$6),(INDEX($E92:$I92,0,AD$8+1)-INDEX($E92:$I92,0,AD$8))/(INDEX($D$5:$H$5,0,AD$8+1)-INDEX($D$5:$H$5,0,AD$8))+AC92)))</f>
        <v>648.58469247689186</v>
      </c>
      <c r="AE92" s="8">
        <f t="shared" ref="AE92:AE100" si="104">IF(AE$8=-1,AF92,IF(AE$8=99,AD92,IF(AE$8=0,INDEX($E92:$I92,0,AE$6),(INDEX($E92:$I92,0,AE$8+1)-INDEX($E92:$I92,0,AE$8))/(INDEX($D$5:$H$5,0,AE$8+1)-INDEX($D$5:$H$5,0,AE$8))+AD92)))</f>
        <v>648.58469247689186</v>
      </c>
      <c r="AF92" s="8">
        <f t="shared" ref="AF92:AF100" si="105">IF(AF$8=-1,AG92,IF(AF$8=99,AE92,IF(AF$8=0,INDEX($E92:$I92,0,AF$6),(INDEX($E92:$I92,0,AF$8+1)-INDEX($E92:$I92,0,AF$8))/(INDEX($D$5:$H$5,0,AF$8+1)-INDEX($D$5:$H$5,0,AF$8))+AE92)))</f>
        <v>648.58469247689186</v>
      </c>
      <c r="AG92" s="8">
        <f t="shared" ref="AG92:AG100" si="106">IF(AG$8=-1,AH92,IF(AG$8=99,AF92,IF(AG$8=0,INDEX($E92:$I92,0,AG$6),(INDEX($E92:$I92,0,AG$8+1)-INDEX($E92:$I92,0,AG$8))/(INDEX($D$5:$H$5,0,AG$8+1)-INDEX($D$5:$H$5,0,AG$8))+AF92)))</f>
        <v>648.58469247689186</v>
      </c>
      <c r="AH92" s="8">
        <f t="shared" ref="AH92:AH100" si="107">IF(AH$8=-1,AI92,IF(AH$8=99,AG92,IF(AH$8=0,INDEX($E92:$I92,0,AH$6),(INDEX($E92:$I92,0,AH$8+1)-INDEX($E92:$I92,0,AH$8))/(INDEX($D$5:$H$5,0,AH$8+1)-INDEX($D$5:$H$5,0,AH$8))+AG92)))</f>
        <v>648.58469247689186</v>
      </c>
      <c r="AI92" s="8">
        <f t="shared" ref="AI92:AI100" si="108">IF(AI$8=-1,AJ92,IF(AI$8=99,AH92,IF(AI$8=0,INDEX($E92:$I92,0,AI$6),(INDEX($E92:$I92,0,AI$8+1)-INDEX($E92:$I92,0,AI$8))/(INDEX($D$5:$H$5,0,AI$8+1)-INDEX($D$5:$H$5,0,AI$8))+AH92)))</f>
        <v>648.58469247689186</v>
      </c>
      <c r="AJ92" s="8">
        <f t="shared" ref="AJ92:AJ100" si="109">IF(AJ$8=-1,AK92,IF(AJ$8=99,AI92,IF(AJ$8=0,INDEX($E92:$I92,0,AJ$6),(INDEX($E92:$I92,0,AJ$8+1)-INDEX($E92:$I92,0,AJ$8))/(INDEX($D$5:$H$5,0,AJ$8+1)-INDEX($D$5:$H$5,0,AJ$8))+AI92)))</f>
        <v>648.58469247689186</v>
      </c>
      <c r="AK92" s="8">
        <f t="shared" ref="AK92:AK100" si="110">IF(AK$8=-1,AL92,IF(AK$8=99,AJ92,IF(AK$8=0,INDEX($E92:$I92,0,AK$6),(INDEX($E92:$I92,0,AK$8+1)-INDEX($E92:$I92,0,AK$8))/(INDEX($D$5:$H$5,0,AK$8+1)-INDEX($D$5:$H$5,0,AK$8))+AJ92)))</f>
        <v>648.58469247689186</v>
      </c>
      <c r="AL92" s="8">
        <f t="shared" ref="AL92:AL100" si="111">IF(AL$8=-1,AM92,IF(AL$8=99,AK92,IF(AL$8=0,INDEX($E92:$I92,0,AL$6),(INDEX($E92:$I92,0,AL$8+1)-INDEX($E92:$I92,0,AL$8))/(INDEX($D$5:$H$5,0,AL$8+1)-INDEX($D$5:$H$5,0,AL$8))+AK92)))</f>
        <v>648.58469247689186</v>
      </c>
      <c r="AM92" s="8">
        <f t="shared" ref="AM92:AM100" si="112">IF(AM$8=-1,AN92,IF(AM$8=99,AL92,IF(AM$8=0,INDEX($E92:$I92,0,AM$6),(INDEX($E92:$I92,0,AM$8+1)-INDEX($E92:$I92,0,AM$8))/(INDEX($D$5:$H$5,0,AM$8+1)-INDEX($D$5:$H$5,0,AM$8))+AL92)))</f>
        <v>648.58469247689186</v>
      </c>
      <c r="AN92" s="8">
        <f t="shared" ref="AN92:AN100" si="113">IF(AN$8=-1,AO92,IF(AN$8=99,AM92,IF(AN$8=0,INDEX($E92:$I92,0,AN$6),(INDEX($E92:$I92,0,AN$8+1)-INDEX($E92:$I92,0,AN$8))/(INDEX($D$5:$H$5,0,AN$8+1)-INDEX($D$5:$H$5,0,AN$8))+AM92)))</f>
        <v>648.58469247689186</v>
      </c>
      <c r="AO92" s="8">
        <f t="shared" ref="AO92:AO100" si="114">IF(AO$8=-1,AP92,IF(AO$8=99,AN92,IF(AO$8=0,INDEX($E92:$I92,0,AO$6),(INDEX($E92:$I92,0,AO$8+1)-INDEX($E92:$I92,0,AO$8))/(INDEX($D$5:$H$5,0,AO$8+1)-INDEX($D$5:$H$5,0,AO$8))+AN92)))</f>
        <v>648.58469247689186</v>
      </c>
      <c r="AP92" s="8">
        <f t="shared" ref="AP92:AP100" si="115">IF(AP$8=-1,AQ92,IF(AP$8=99,AO92,IF(AP$8=0,INDEX($E92:$I92,0,AP$6),(INDEX($E92:$I92,0,AP$8+1)-INDEX($E92:$I92,0,AP$8))/(INDEX($D$5:$H$5,0,AP$8+1)-INDEX($D$5:$H$5,0,AP$8))+AO92)))</f>
        <v>648.58469247689186</v>
      </c>
      <c r="AQ92" s="8">
        <f t="shared" ref="AQ92:AQ100" si="116">IF(AQ$8=-1,AR92,IF(AQ$8=99,AP92,IF(AQ$8=0,INDEX($E92:$I92,0,AQ$6),(INDEX($E92:$I92,0,AQ$8+1)-INDEX($E92:$I92,0,AQ$8))/(INDEX($D$5:$H$5,0,AQ$8+1)-INDEX($D$5:$H$5,0,AQ$8))+AP92)))</f>
        <v>648.58469247689186</v>
      </c>
      <c r="AR92" s="8">
        <f t="shared" ref="AR92:AR100" si="117">IF(AR$8=-1,AS92,IF(AR$8=99,AQ92,IF(AR$8=0,INDEX($E92:$I92,0,AR$6),(INDEX($E92:$I92,0,AR$8+1)-INDEX($E92:$I92,0,AR$8))/(INDEX($D$5:$H$5,0,AR$8+1)-INDEX($D$5:$H$5,0,AR$8))+AQ92)))</f>
        <v>648.58469247689186</v>
      </c>
      <c r="AS92" s="8">
        <f t="shared" ref="AS92:AS100" si="118">IF(AS$8=-1,AT92,IF(AS$8=99,AR92,IF(AS$8=0,INDEX($E92:$I92,0,AS$6),(INDEX($E92:$I92,0,AS$8+1)-INDEX($E92:$I92,0,AS$8))/(INDEX($D$5:$H$5,0,AS$8+1)-INDEX($D$5:$H$5,0,AS$8))+AR92)))</f>
        <v>648.58469247689186</v>
      </c>
      <c r="AT92" s="8">
        <f t="shared" ref="AT92:AT100" si="119">IF(AT$8=-1,AU92,IF(AT$8=99,AS92,IF(AT$8=0,INDEX($E92:$I92,0,AT$6),(INDEX($E92:$I92,0,AT$8+1)-INDEX($E92:$I92,0,AT$8))/(INDEX($D$5:$H$5,0,AT$8+1)-INDEX($D$5:$H$5,0,AT$8))+AS92)))</f>
        <v>648.58469247689186</v>
      </c>
      <c r="AU92" s="8">
        <f t="shared" ref="AU92:AU100" si="120">IF(AU$8=-1,AV92,IF(AU$8=99,AT92,IF(AU$8=0,INDEX($E92:$I92,0,AU$6),(INDEX($E92:$I92,0,AU$8+1)-INDEX($E92:$I92,0,AU$8))/(INDEX($D$5:$H$5,0,AU$8+1)-INDEX($D$5:$H$5,0,AU$8))+AT92)))</f>
        <v>648.58469247689186</v>
      </c>
      <c r="AV92" s="8">
        <f t="shared" ref="AV92:AV100" si="121">IF(AV$8=-1,AW92,IF(AV$8=99,AU92,IF(AV$8=0,INDEX($E92:$I92,0,AV$6),(INDEX($E92:$I92,0,AV$8+1)-INDEX($E92:$I92,0,AV$8))/(INDEX($D$5:$H$5,0,AV$8+1)-INDEX($D$5:$H$5,0,AV$8))+AU92)))</f>
        <v>648.58469247689186</v>
      </c>
    </row>
    <row r="93" spans="1:48">
      <c r="A93" s="4" t="s">
        <v>16</v>
      </c>
      <c r="B93" s="174" t="str">
        <f t="shared" ref="B93:B100" si="122">B71</f>
        <v>CEH</v>
      </c>
      <c r="C93" s="96" t="str">
        <f t="shared" si="82"/>
        <v>Commercial - Space Heating</v>
      </c>
      <c r="D93" s="96" t="s">
        <v>75</v>
      </c>
      <c r="E93" s="107">
        <f t="shared" ref="E93:F100" si="123">E82</f>
        <v>59.117764859369188</v>
      </c>
      <c r="F93" s="120">
        <f t="shared" si="123"/>
        <v>82.470862832548889</v>
      </c>
      <c r="G93" s="120">
        <f t="shared" si="83"/>
        <v>82.470862832548889</v>
      </c>
      <c r="H93" s="120">
        <f t="shared" si="84"/>
        <v>61.853147124411663</v>
      </c>
      <c r="I93" s="178">
        <f t="shared" ref="I93:I100" si="124">H93</f>
        <v>61.853147124411663</v>
      </c>
      <c r="J93" s="8">
        <f t="shared" ref="J93:J100" si="125">IF(J$8=-1,K93,IF(J$8=99,I93,IF(J$8=0,INDEX($E93:$I93,0,J$6),(INDEX($E93:$I93,0,J$8+1)-INDEX($E93:$I93,0,J$8))/(INDEX($D$5:$H$5,0,J$8+1)-INDEX($D$5:$H$5,0,J$8))+I93)))</f>
        <v>59.117764859369188</v>
      </c>
      <c r="K93" s="8">
        <f t="shared" ref="K93:K100" si="126">IF(K$8=-1,L93,IF(K$8=99,J93,IF(K$8=0,INDEX($E93:$I93,0,K$6),(INDEX($E93:$I93,0,K$8+1)-INDEX($E93:$I93,0,K$8))/(INDEX($D$5:$H$5,0,K$8+1)-INDEX($D$5:$H$5,0,K$8))+J93)))</f>
        <v>63.788384454005126</v>
      </c>
      <c r="L93" s="8">
        <f t="shared" si="85"/>
        <v>68.459004048641063</v>
      </c>
      <c r="M93" s="8">
        <f t="shared" si="86"/>
        <v>73.129623643277</v>
      </c>
      <c r="N93" s="8">
        <f t="shared" si="87"/>
        <v>77.800243237912937</v>
      </c>
      <c r="O93" s="8">
        <f t="shared" si="88"/>
        <v>82.470862832548889</v>
      </c>
      <c r="P93" s="8">
        <f t="shared" si="89"/>
        <v>82.470862832548889</v>
      </c>
      <c r="Q93" s="8">
        <f t="shared" si="90"/>
        <v>82.470862832548889</v>
      </c>
      <c r="R93" s="8">
        <f t="shared" si="91"/>
        <v>82.470862832548889</v>
      </c>
      <c r="S93" s="8">
        <f t="shared" si="92"/>
        <v>80.409091261735171</v>
      </c>
      <c r="T93" s="8">
        <f t="shared" si="93"/>
        <v>78.347319690921452</v>
      </c>
      <c r="U93" s="8">
        <f t="shared" si="94"/>
        <v>76.285548120107734</v>
      </c>
      <c r="V93" s="8">
        <f t="shared" si="95"/>
        <v>74.223776549294016</v>
      </c>
      <c r="W93" s="8">
        <f t="shared" si="96"/>
        <v>72.162004978480297</v>
      </c>
      <c r="X93" s="8">
        <f t="shared" si="97"/>
        <v>70.100233407666579</v>
      </c>
      <c r="Y93" s="8">
        <f t="shared" si="98"/>
        <v>68.038461836852861</v>
      </c>
      <c r="Z93" s="8">
        <f t="shared" si="99"/>
        <v>65.976690266039142</v>
      </c>
      <c r="AA93" s="8">
        <f t="shared" si="100"/>
        <v>63.914918695225417</v>
      </c>
      <c r="AB93" s="8">
        <f t="shared" si="101"/>
        <v>61.853147124411663</v>
      </c>
      <c r="AC93" s="8">
        <f t="shared" si="102"/>
        <v>61.853147124411663</v>
      </c>
      <c r="AD93" s="8">
        <f t="shared" si="103"/>
        <v>61.853147124411663</v>
      </c>
      <c r="AE93" s="8">
        <f t="shared" si="104"/>
        <v>61.853147124411663</v>
      </c>
      <c r="AF93" s="8">
        <f t="shared" si="105"/>
        <v>61.853147124411663</v>
      </c>
      <c r="AG93" s="8">
        <f t="shared" si="106"/>
        <v>61.853147124411663</v>
      </c>
      <c r="AH93" s="8">
        <f t="shared" si="107"/>
        <v>61.853147124411663</v>
      </c>
      <c r="AI93" s="8">
        <f t="shared" si="108"/>
        <v>61.853147124411663</v>
      </c>
      <c r="AJ93" s="8">
        <f t="shared" si="109"/>
        <v>61.853147124411663</v>
      </c>
      <c r="AK93" s="8">
        <f t="shared" si="110"/>
        <v>61.853147124411663</v>
      </c>
      <c r="AL93" s="8">
        <f t="shared" si="111"/>
        <v>61.853147124411663</v>
      </c>
      <c r="AM93" s="8">
        <f t="shared" si="112"/>
        <v>61.853147124411663</v>
      </c>
      <c r="AN93" s="8">
        <f t="shared" si="113"/>
        <v>61.853147124411663</v>
      </c>
      <c r="AO93" s="8">
        <f t="shared" si="114"/>
        <v>61.853147124411663</v>
      </c>
      <c r="AP93" s="8">
        <f t="shared" si="115"/>
        <v>61.853147124411663</v>
      </c>
      <c r="AQ93" s="8">
        <f t="shared" si="116"/>
        <v>61.853147124411663</v>
      </c>
      <c r="AR93" s="8">
        <f t="shared" si="117"/>
        <v>61.853147124411663</v>
      </c>
      <c r="AS93" s="8">
        <f t="shared" si="118"/>
        <v>61.853147124411663</v>
      </c>
      <c r="AT93" s="8">
        <f t="shared" si="119"/>
        <v>61.853147124411663</v>
      </c>
      <c r="AU93" s="8">
        <f t="shared" si="120"/>
        <v>61.853147124411663</v>
      </c>
      <c r="AV93" s="8">
        <f t="shared" si="121"/>
        <v>61.853147124411663</v>
      </c>
    </row>
    <row r="94" spans="1:48">
      <c r="A94" s="4" t="s">
        <v>16</v>
      </c>
      <c r="B94" s="174" t="str">
        <f t="shared" si="122"/>
        <v>CEK</v>
      </c>
      <c r="C94" s="96" t="str">
        <f t="shared" si="82"/>
        <v>Commercial - Cooking</v>
      </c>
      <c r="D94" s="96" t="s">
        <v>75</v>
      </c>
      <c r="E94" s="107">
        <f t="shared" si="123"/>
        <v>74.498085701673531</v>
      </c>
      <c r="F94" s="120">
        <f t="shared" si="123"/>
        <v>61.683981193944355</v>
      </c>
      <c r="G94" s="120">
        <f t="shared" si="83"/>
        <v>61.683981193944355</v>
      </c>
      <c r="H94" s="120">
        <f t="shared" si="84"/>
        <v>46.262985895458264</v>
      </c>
      <c r="I94" s="178">
        <f t="shared" si="124"/>
        <v>46.262985895458264</v>
      </c>
      <c r="J94" s="8">
        <f t="shared" si="125"/>
        <v>74.498085701673531</v>
      </c>
      <c r="K94" s="8">
        <f t="shared" si="126"/>
        <v>71.935264800127698</v>
      </c>
      <c r="L94" s="8">
        <f t="shared" si="85"/>
        <v>69.372443898581864</v>
      </c>
      <c r="M94" s="8">
        <f t="shared" si="86"/>
        <v>66.80962299703603</v>
      </c>
      <c r="N94" s="8">
        <f t="shared" si="87"/>
        <v>64.246802095490196</v>
      </c>
      <c r="O94" s="8">
        <f t="shared" si="88"/>
        <v>61.683981193944355</v>
      </c>
      <c r="P94" s="8">
        <f t="shared" si="89"/>
        <v>61.683981193944355</v>
      </c>
      <c r="Q94" s="8">
        <f t="shared" si="90"/>
        <v>61.683981193944355</v>
      </c>
      <c r="R94" s="8">
        <f t="shared" si="91"/>
        <v>61.683981193944355</v>
      </c>
      <c r="S94" s="8">
        <f t="shared" si="92"/>
        <v>60.141881664095749</v>
      </c>
      <c r="T94" s="8">
        <f t="shared" si="93"/>
        <v>58.599782134247143</v>
      </c>
      <c r="U94" s="8">
        <f t="shared" si="94"/>
        <v>57.057682604398536</v>
      </c>
      <c r="V94" s="8">
        <f t="shared" si="95"/>
        <v>55.51558307454993</v>
      </c>
      <c r="W94" s="8">
        <f t="shared" si="96"/>
        <v>53.973483544701324</v>
      </c>
      <c r="X94" s="8">
        <f t="shared" si="97"/>
        <v>52.431384014852718</v>
      </c>
      <c r="Y94" s="8">
        <f t="shared" si="98"/>
        <v>50.889284485004112</v>
      </c>
      <c r="Z94" s="8">
        <f t="shared" si="99"/>
        <v>49.347184955155505</v>
      </c>
      <c r="AA94" s="8">
        <f t="shared" si="100"/>
        <v>47.805085425306899</v>
      </c>
      <c r="AB94" s="8">
        <f t="shared" si="101"/>
        <v>46.262985895458264</v>
      </c>
      <c r="AC94" s="8">
        <f t="shared" si="102"/>
        <v>46.262985895458264</v>
      </c>
      <c r="AD94" s="8">
        <f t="shared" si="103"/>
        <v>46.262985895458264</v>
      </c>
      <c r="AE94" s="8">
        <f t="shared" si="104"/>
        <v>46.262985895458264</v>
      </c>
      <c r="AF94" s="8">
        <f t="shared" si="105"/>
        <v>46.262985895458264</v>
      </c>
      <c r="AG94" s="8">
        <f t="shared" si="106"/>
        <v>46.262985895458264</v>
      </c>
      <c r="AH94" s="8">
        <f t="shared" si="107"/>
        <v>46.262985895458264</v>
      </c>
      <c r="AI94" s="8">
        <f t="shared" si="108"/>
        <v>46.262985895458264</v>
      </c>
      <c r="AJ94" s="8">
        <f t="shared" si="109"/>
        <v>46.262985895458264</v>
      </c>
      <c r="AK94" s="8">
        <f t="shared" si="110"/>
        <v>46.262985895458264</v>
      </c>
      <c r="AL94" s="8">
        <f t="shared" si="111"/>
        <v>46.262985895458264</v>
      </c>
      <c r="AM94" s="8">
        <f t="shared" si="112"/>
        <v>46.262985895458264</v>
      </c>
      <c r="AN94" s="8">
        <f t="shared" si="113"/>
        <v>46.262985895458264</v>
      </c>
      <c r="AO94" s="8">
        <f t="shared" si="114"/>
        <v>46.262985895458264</v>
      </c>
      <c r="AP94" s="8">
        <f t="shared" si="115"/>
        <v>46.262985895458264</v>
      </c>
      <c r="AQ94" s="8">
        <f t="shared" si="116"/>
        <v>46.262985895458264</v>
      </c>
      <c r="AR94" s="8">
        <f t="shared" si="117"/>
        <v>46.262985895458264</v>
      </c>
      <c r="AS94" s="8">
        <f t="shared" si="118"/>
        <v>46.262985895458264</v>
      </c>
      <c r="AT94" s="8">
        <f t="shared" si="119"/>
        <v>46.262985895458264</v>
      </c>
      <c r="AU94" s="8">
        <f t="shared" si="120"/>
        <v>46.262985895458264</v>
      </c>
      <c r="AV94" s="8">
        <f t="shared" si="121"/>
        <v>46.262985895458264</v>
      </c>
    </row>
    <row r="95" spans="1:48">
      <c r="A95" s="4" t="s">
        <v>16</v>
      </c>
      <c r="B95" s="174" t="str">
        <f t="shared" si="122"/>
        <v>CEL</v>
      </c>
      <c r="C95" s="96" t="str">
        <f t="shared" si="82"/>
        <v>Commercial - Lighting</v>
      </c>
      <c r="D95" s="96" t="s">
        <v>75</v>
      </c>
      <c r="E95" s="107">
        <f t="shared" si="123"/>
        <v>915.10615144128838</v>
      </c>
      <c r="F95" s="120">
        <f t="shared" si="123"/>
        <v>752.55792279474565</v>
      </c>
      <c r="G95" s="120">
        <f t="shared" si="83"/>
        <v>752.55792279474565</v>
      </c>
      <c r="H95" s="120">
        <f t="shared" si="84"/>
        <v>564.41844209605927</v>
      </c>
      <c r="I95" s="178">
        <f t="shared" si="124"/>
        <v>564.41844209605927</v>
      </c>
      <c r="J95" s="8">
        <f t="shared" si="125"/>
        <v>915.10615144128838</v>
      </c>
      <c r="K95" s="8">
        <f t="shared" si="126"/>
        <v>882.59650571197983</v>
      </c>
      <c r="L95" s="8">
        <f t="shared" si="85"/>
        <v>850.08685998267129</v>
      </c>
      <c r="M95" s="8">
        <f t="shared" si="86"/>
        <v>817.57721425336274</v>
      </c>
      <c r="N95" s="8">
        <f t="shared" si="87"/>
        <v>785.0675685240542</v>
      </c>
      <c r="O95" s="8">
        <f t="shared" si="88"/>
        <v>752.55792279474565</v>
      </c>
      <c r="P95" s="8">
        <f t="shared" si="89"/>
        <v>752.55792279474565</v>
      </c>
      <c r="Q95" s="8">
        <f t="shared" si="90"/>
        <v>752.55792279474565</v>
      </c>
      <c r="R95" s="8">
        <f t="shared" si="91"/>
        <v>752.55792279474565</v>
      </c>
      <c r="S95" s="8">
        <f t="shared" si="92"/>
        <v>733.74397472487703</v>
      </c>
      <c r="T95" s="8">
        <f t="shared" si="93"/>
        <v>714.93002665500842</v>
      </c>
      <c r="U95" s="8">
        <f t="shared" si="94"/>
        <v>696.1160785851398</v>
      </c>
      <c r="V95" s="8">
        <f t="shared" si="95"/>
        <v>677.30213051527119</v>
      </c>
      <c r="W95" s="8">
        <f t="shared" si="96"/>
        <v>658.48818244540257</v>
      </c>
      <c r="X95" s="8">
        <f t="shared" si="97"/>
        <v>639.67423437553396</v>
      </c>
      <c r="Y95" s="8">
        <f t="shared" si="98"/>
        <v>620.86028630566534</v>
      </c>
      <c r="Z95" s="8">
        <f t="shared" si="99"/>
        <v>602.04633823579672</v>
      </c>
      <c r="AA95" s="8">
        <f t="shared" si="100"/>
        <v>583.23239016592811</v>
      </c>
      <c r="AB95" s="8">
        <f t="shared" si="101"/>
        <v>564.41844209605927</v>
      </c>
      <c r="AC95" s="8">
        <f t="shared" si="102"/>
        <v>564.41844209605927</v>
      </c>
      <c r="AD95" s="8">
        <f t="shared" si="103"/>
        <v>564.41844209605927</v>
      </c>
      <c r="AE95" s="8">
        <f t="shared" si="104"/>
        <v>564.41844209605927</v>
      </c>
      <c r="AF95" s="8">
        <f t="shared" si="105"/>
        <v>564.41844209605927</v>
      </c>
      <c r="AG95" s="8">
        <f t="shared" si="106"/>
        <v>564.41844209605927</v>
      </c>
      <c r="AH95" s="8">
        <f t="shared" si="107"/>
        <v>564.41844209605927</v>
      </c>
      <c r="AI95" s="8">
        <f t="shared" si="108"/>
        <v>564.41844209605927</v>
      </c>
      <c r="AJ95" s="8">
        <f t="shared" si="109"/>
        <v>564.41844209605927</v>
      </c>
      <c r="AK95" s="8">
        <f t="shared" si="110"/>
        <v>564.41844209605927</v>
      </c>
      <c r="AL95" s="8">
        <f t="shared" si="111"/>
        <v>564.41844209605927</v>
      </c>
      <c r="AM95" s="8">
        <f t="shared" si="112"/>
        <v>564.41844209605927</v>
      </c>
      <c r="AN95" s="8">
        <f t="shared" si="113"/>
        <v>564.41844209605927</v>
      </c>
      <c r="AO95" s="8">
        <f t="shared" si="114"/>
        <v>564.41844209605927</v>
      </c>
      <c r="AP95" s="8">
        <f t="shared" si="115"/>
        <v>564.41844209605927</v>
      </c>
      <c r="AQ95" s="8">
        <f t="shared" si="116"/>
        <v>564.41844209605927</v>
      </c>
      <c r="AR95" s="8">
        <f t="shared" si="117"/>
        <v>564.41844209605927</v>
      </c>
      <c r="AS95" s="8">
        <f t="shared" si="118"/>
        <v>564.41844209605927</v>
      </c>
      <c r="AT95" s="8">
        <f t="shared" si="119"/>
        <v>564.41844209605927</v>
      </c>
      <c r="AU95" s="8">
        <f t="shared" si="120"/>
        <v>564.41844209605927</v>
      </c>
      <c r="AV95" s="8">
        <f t="shared" si="121"/>
        <v>564.41844209605927</v>
      </c>
    </row>
    <row r="96" spans="1:48">
      <c r="A96" s="4" t="s">
        <v>16</v>
      </c>
      <c r="B96" s="174" t="str">
        <f t="shared" si="122"/>
        <v>CER</v>
      </c>
      <c r="C96" s="96" t="str">
        <f t="shared" si="82"/>
        <v>Commercial - Refrigeration</v>
      </c>
      <c r="D96" s="96" t="s">
        <v>75</v>
      </c>
      <c r="E96" s="107">
        <f t="shared" si="123"/>
        <v>222.61251585750318</v>
      </c>
      <c r="F96" s="120">
        <f t="shared" si="123"/>
        <v>183.07035993362933</v>
      </c>
      <c r="G96" s="120">
        <f t="shared" si="83"/>
        <v>183.07035993362933</v>
      </c>
      <c r="H96" s="120">
        <f t="shared" si="84"/>
        <v>137.302769950222</v>
      </c>
      <c r="I96" s="178">
        <f t="shared" si="124"/>
        <v>137.302769950222</v>
      </c>
      <c r="J96" s="8">
        <f t="shared" si="125"/>
        <v>222.61251585750318</v>
      </c>
      <c r="K96" s="8">
        <f t="shared" si="126"/>
        <v>214.70408467272841</v>
      </c>
      <c r="L96" s="8">
        <f t="shared" si="85"/>
        <v>206.79565348795364</v>
      </c>
      <c r="M96" s="8">
        <f t="shared" si="86"/>
        <v>198.88722230317887</v>
      </c>
      <c r="N96" s="8">
        <f t="shared" si="87"/>
        <v>190.9787911184041</v>
      </c>
      <c r="O96" s="8">
        <f t="shared" si="88"/>
        <v>183.07035993362933</v>
      </c>
      <c r="P96" s="8">
        <f t="shared" si="89"/>
        <v>183.07035993362933</v>
      </c>
      <c r="Q96" s="8">
        <f t="shared" si="90"/>
        <v>183.07035993362933</v>
      </c>
      <c r="R96" s="8">
        <f t="shared" si="91"/>
        <v>183.07035993362933</v>
      </c>
      <c r="S96" s="8">
        <f t="shared" si="92"/>
        <v>178.49360093528861</v>
      </c>
      <c r="T96" s="8">
        <f t="shared" si="93"/>
        <v>173.91684193694789</v>
      </c>
      <c r="U96" s="8">
        <f t="shared" si="94"/>
        <v>169.34008293860717</v>
      </c>
      <c r="V96" s="8">
        <f t="shared" si="95"/>
        <v>164.76332394026645</v>
      </c>
      <c r="W96" s="8">
        <f t="shared" si="96"/>
        <v>160.18656494192572</v>
      </c>
      <c r="X96" s="8">
        <f t="shared" si="97"/>
        <v>155.609805943585</v>
      </c>
      <c r="Y96" s="8">
        <f t="shared" si="98"/>
        <v>151.03304694524428</v>
      </c>
      <c r="Z96" s="8">
        <f t="shared" si="99"/>
        <v>146.45628794690356</v>
      </c>
      <c r="AA96" s="8">
        <f t="shared" si="100"/>
        <v>141.87952894856284</v>
      </c>
      <c r="AB96" s="8">
        <f t="shared" si="101"/>
        <v>137.302769950222</v>
      </c>
      <c r="AC96" s="8">
        <f t="shared" si="102"/>
        <v>137.302769950222</v>
      </c>
      <c r="AD96" s="8">
        <f t="shared" si="103"/>
        <v>137.302769950222</v>
      </c>
      <c r="AE96" s="8">
        <f t="shared" si="104"/>
        <v>137.302769950222</v>
      </c>
      <c r="AF96" s="8">
        <f t="shared" si="105"/>
        <v>137.302769950222</v>
      </c>
      <c r="AG96" s="8">
        <f t="shared" si="106"/>
        <v>137.302769950222</v>
      </c>
      <c r="AH96" s="8">
        <f t="shared" si="107"/>
        <v>137.302769950222</v>
      </c>
      <c r="AI96" s="8">
        <f t="shared" si="108"/>
        <v>137.302769950222</v>
      </c>
      <c r="AJ96" s="8">
        <f t="shared" si="109"/>
        <v>137.302769950222</v>
      </c>
      <c r="AK96" s="8">
        <f t="shared" si="110"/>
        <v>137.302769950222</v>
      </c>
      <c r="AL96" s="8">
        <f t="shared" si="111"/>
        <v>137.302769950222</v>
      </c>
      <c r="AM96" s="8">
        <f t="shared" si="112"/>
        <v>137.302769950222</v>
      </c>
      <c r="AN96" s="8">
        <f t="shared" si="113"/>
        <v>137.302769950222</v>
      </c>
      <c r="AO96" s="8">
        <f t="shared" si="114"/>
        <v>137.302769950222</v>
      </c>
      <c r="AP96" s="8">
        <f t="shared" si="115"/>
        <v>137.302769950222</v>
      </c>
      <c r="AQ96" s="8">
        <f t="shared" si="116"/>
        <v>137.302769950222</v>
      </c>
      <c r="AR96" s="8">
        <f t="shared" si="117"/>
        <v>137.302769950222</v>
      </c>
      <c r="AS96" s="8">
        <f t="shared" si="118"/>
        <v>137.302769950222</v>
      </c>
      <c r="AT96" s="8">
        <f t="shared" si="119"/>
        <v>137.302769950222</v>
      </c>
      <c r="AU96" s="8">
        <f t="shared" si="120"/>
        <v>137.302769950222</v>
      </c>
      <c r="AV96" s="8">
        <f t="shared" si="121"/>
        <v>137.302769950222</v>
      </c>
    </row>
    <row r="97" spans="1:50">
      <c r="A97" s="4" t="s">
        <v>16</v>
      </c>
      <c r="B97" s="174" t="str">
        <f t="shared" si="122"/>
        <v>CEW</v>
      </c>
      <c r="C97" s="96" t="str">
        <f t="shared" si="82"/>
        <v>Commercial - Water Heating</v>
      </c>
      <c r="D97" s="96" t="s">
        <v>75</v>
      </c>
      <c r="E97" s="107">
        <f t="shared" si="123"/>
        <v>72.906473658117989</v>
      </c>
      <c r="F97" s="120">
        <f t="shared" si="123"/>
        <v>95.432706346388613</v>
      </c>
      <c r="G97" s="120">
        <f t="shared" si="83"/>
        <v>95.432706346388613</v>
      </c>
      <c r="H97" s="120">
        <f t="shared" si="84"/>
        <v>71.57452975979146</v>
      </c>
      <c r="I97" s="178">
        <f t="shared" si="124"/>
        <v>71.57452975979146</v>
      </c>
      <c r="J97" s="8">
        <f t="shared" si="125"/>
        <v>72.906473658117989</v>
      </c>
      <c r="K97" s="8">
        <f t="shared" si="126"/>
        <v>77.411720195772119</v>
      </c>
      <c r="L97" s="8">
        <f t="shared" si="85"/>
        <v>81.91696673342625</v>
      </c>
      <c r="M97" s="8">
        <f t="shared" si="86"/>
        <v>86.422213271080381</v>
      </c>
      <c r="N97" s="8">
        <f t="shared" si="87"/>
        <v>90.927459808734511</v>
      </c>
      <c r="O97" s="8">
        <f t="shared" si="88"/>
        <v>95.432706346388613</v>
      </c>
      <c r="P97" s="8">
        <f t="shared" si="89"/>
        <v>95.432706346388613</v>
      </c>
      <c r="Q97" s="8">
        <f t="shared" si="90"/>
        <v>95.432706346388613</v>
      </c>
      <c r="R97" s="8">
        <f t="shared" si="91"/>
        <v>95.432706346388613</v>
      </c>
      <c r="S97" s="8">
        <f t="shared" si="92"/>
        <v>93.046888687728895</v>
      </c>
      <c r="T97" s="8">
        <f t="shared" si="93"/>
        <v>90.661071029069177</v>
      </c>
      <c r="U97" s="8">
        <f t="shared" si="94"/>
        <v>88.275253370409459</v>
      </c>
      <c r="V97" s="8">
        <f t="shared" si="95"/>
        <v>85.889435711749741</v>
      </c>
      <c r="W97" s="8">
        <f t="shared" si="96"/>
        <v>83.503618053090022</v>
      </c>
      <c r="X97" s="8">
        <f t="shared" si="97"/>
        <v>81.117800394430304</v>
      </c>
      <c r="Y97" s="8">
        <f t="shared" si="98"/>
        <v>78.731982735770586</v>
      </c>
      <c r="Z97" s="8">
        <f t="shared" si="99"/>
        <v>76.346165077110868</v>
      </c>
      <c r="AA97" s="8">
        <f t="shared" si="100"/>
        <v>73.96034741845115</v>
      </c>
      <c r="AB97" s="8">
        <f t="shared" si="101"/>
        <v>71.57452975979146</v>
      </c>
      <c r="AC97" s="8">
        <f t="shared" si="102"/>
        <v>71.57452975979146</v>
      </c>
      <c r="AD97" s="8">
        <f t="shared" si="103"/>
        <v>71.57452975979146</v>
      </c>
      <c r="AE97" s="8">
        <f t="shared" si="104"/>
        <v>71.57452975979146</v>
      </c>
      <c r="AF97" s="8">
        <f t="shared" si="105"/>
        <v>71.57452975979146</v>
      </c>
      <c r="AG97" s="8">
        <f t="shared" si="106"/>
        <v>71.57452975979146</v>
      </c>
      <c r="AH97" s="8">
        <f t="shared" si="107"/>
        <v>71.57452975979146</v>
      </c>
      <c r="AI97" s="8">
        <f t="shared" si="108"/>
        <v>71.57452975979146</v>
      </c>
      <c r="AJ97" s="8">
        <f t="shared" si="109"/>
        <v>71.57452975979146</v>
      </c>
      <c r="AK97" s="8">
        <f t="shared" si="110"/>
        <v>71.57452975979146</v>
      </c>
      <c r="AL97" s="8">
        <f t="shared" si="111"/>
        <v>71.57452975979146</v>
      </c>
      <c r="AM97" s="8">
        <f t="shared" si="112"/>
        <v>71.57452975979146</v>
      </c>
      <c r="AN97" s="8">
        <f t="shared" si="113"/>
        <v>71.57452975979146</v>
      </c>
      <c r="AO97" s="8">
        <f t="shared" si="114"/>
        <v>71.57452975979146</v>
      </c>
      <c r="AP97" s="8">
        <f t="shared" si="115"/>
        <v>71.57452975979146</v>
      </c>
      <c r="AQ97" s="8">
        <f t="shared" si="116"/>
        <v>71.57452975979146</v>
      </c>
      <c r="AR97" s="8">
        <f t="shared" si="117"/>
        <v>71.57452975979146</v>
      </c>
      <c r="AS97" s="8">
        <f t="shared" si="118"/>
        <v>71.57452975979146</v>
      </c>
      <c r="AT97" s="8">
        <f t="shared" si="119"/>
        <v>71.57452975979146</v>
      </c>
      <c r="AU97" s="8">
        <f t="shared" si="120"/>
        <v>71.57452975979146</v>
      </c>
      <c r="AV97" s="8">
        <f t="shared" si="121"/>
        <v>71.57452975979146</v>
      </c>
    </row>
    <row r="98" spans="1:50">
      <c r="A98" s="4" t="s">
        <v>16</v>
      </c>
      <c r="B98" s="174" t="str">
        <f t="shared" si="122"/>
        <v>CEG</v>
      </c>
      <c r="C98" s="124" t="str">
        <f t="shared" si="82"/>
        <v>Commercial - Public lights</v>
      </c>
      <c r="D98" s="124" t="s">
        <v>75</v>
      </c>
      <c r="E98" s="212">
        <f>D62/$J$34</f>
        <v>387.77678995775307</v>
      </c>
      <c r="F98" s="212">
        <f>E62/$O$34</f>
        <v>318.89687890197069</v>
      </c>
      <c r="G98" s="205">
        <f t="shared" si="83"/>
        <v>318.89687890197069</v>
      </c>
      <c r="H98" s="205">
        <f>G98*(1+$I$91)</f>
        <v>255.11750312157656</v>
      </c>
      <c r="I98" s="206">
        <f t="shared" si="124"/>
        <v>255.11750312157656</v>
      </c>
      <c r="J98" s="8">
        <f t="shared" si="125"/>
        <v>387.77678995775307</v>
      </c>
      <c r="K98" s="8">
        <f t="shared" si="126"/>
        <v>374.00080774659659</v>
      </c>
      <c r="L98" s="8">
        <f t="shared" si="85"/>
        <v>360.22482553544012</v>
      </c>
      <c r="M98" s="8">
        <f>IF(M$8=-1,N98,IF(M$8=99,L98,IF(M$8=0,INDEX($E98:$I98,0,M$6),(INDEX($E98:$I98,0,M$8+1)-INDEX($E98:$I98,0,M$8))/(INDEX($D$5:$H$5,0,M$8+1)-INDEX($D$5:$H$5,0,M$8))+L98)))</f>
        <v>346.44884332428364</v>
      </c>
      <c r="N98" s="8">
        <f t="shared" si="87"/>
        <v>332.67286111312717</v>
      </c>
      <c r="O98" s="8">
        <f t="shared" si="88"/>
        <v>318.89687890197069</v>
      </c>
      <c r="P98" s="8">
        <f t="shared" si="89"/>
        <v>318.89687890197069</v>
      </c>
      <c r="Q98" s="8">
        <f t="shared" si="90"/>
        <v>318.89687890197069</v>
      </c>
      <c r="R98" s="8">
        <f t="shared" si="91"/>
        <v>318.89687890197069</v>
      </c>
      <c r="S98" s="8">
        <f t="shared" si="92"/>
        <v>312.5189413239313</v>
      </c>
      <c r="T98" s="8">
        <f t="shared" si="93"/>
        <v>306.14100374589191</v>
      </c>
      <c r="U98" s="8">
        <f t="shared" si="94"/>
        <v>299.76306616785251</v>
      </c>
      <c r="V98" s="8">
        <f t="shared" si="95"/>
        <v>293.38512858981312</v>
      </c>
      <c r="W98" s="8">
        <f t="shared" si="96"/>
        <v>287.00719101177373</v>
      </c>
      <c r="X98" s="8">
        <f t="shared" si="97"/>
        <v>280.62925343373433</v>
      </c>
      <c r="Y98" s="8">
        <f t="shared" si="98"/>
        <v>274.25131585569494</v>
      </c>
      <c r="Z98" s="8">
        <f t="shared" si="99"/>
        <v>267.87337827765555</v>
      </c>
      <c r="AA98" s="8">
        <f t="shared" si="100"/>
        <v>261.49544069961615</v>
      </c>
      <c r="AB98" s="8">
        <f t="shared" si="101"/>
        <v>255.11750312157656</v>
      </c>
      <c r="AC98" s="8">
        <f t="shared" si="102"/>
        <v>255.11750312157656</v>
      </c>
      <c r="AD98" s="8">
        <f t="shared" si="103"/>
        <v>255.11750312157656</v>
      </c>
      <c r="AE98" s="8">
        <f t="shared" si="104"/>
        <v>255.11750312157656</v>
      </c>
      <c r="AF98" s="8">
        <f t="shared" si="105"/>
        <v>255.11750312157656</v>
      </c>
      <c r="AG98" s="8">
        <f t="shared" si="106"/>
        <v>255.11750312157656</v>
      </c>
      <c r="AH98" s="8">
        <f t="shared" si="107"/>
        <v>255.11750312157656</v>
      </c>
      <c r="AI98" s="8">
        <f t="shared" si="108"/>
        <v>255.11750312157656</v>
      </c>
      <c r="AJ98" s="8">
        <f t="shared" si="109"/>
        <v>255.11750312157656</v>
      </c>
      <c r="AK98" s="8">
        <f t="shared" si="110"/>
        <v>255.11750312157656</v>
      </c>
      <c r="AL98" s="8">
        <f t="shared" si="111"/>
        <v>255.11750312157656</v>
      </c>
      <c r="AM98" s="8">
        <f t="shared" si="112"/>
        <v>255.11750312157656</v>
      </c>
      <c r="AN98" s="8">
        <f t="shared" si="113"/>
        <v>255.11750312157656</v>
      </c>
      <c r="AO98" s="8">
        <f t="shared" si="114"/>
        <v>255.11750312157656</v>
      </c>
      <c r="AP98" s="8">
        <f t="shared" si="115"/>
        <v>255.11750312157656</v>
      </c>
      <c r="AQ98" s="8">
        <f t="shared" si="116"/>
        <v>255.11750312157656</v>
      </c>
      <c r="AR98" s="8">
        <f t="shared" si="117"/>
        <v>255.11750312157656</v>
      </c>
      <c r="AS98" s="8">
        <f t="shared" si="118"/>
        <v>255.11750312157656</v>
      </c>
      <c r="AT98" s="8">
        <f t="shared" si="119"/>
        <v>255.11750312157656</v>
      </c>
      <c r="AU98" s="8">
        <f t="shared" si="120"/>
        <v>255.11750312157656</v>
      </c>
      <c r="AV98" s="8">
        <f t="shared" si="121"/>
        <v>255.11750312157656</v>
      </c>
    </row>
    <row r="99" spans="1:50">
      <c r="A99" s="4" t="s">
        <v>16</v>
      </c>
      <c r="B99" s="174" t="str">
        <f t="shared" si="122"/>
        <v>CET</v>
      </c>
      <c r="C99" s="124" t="str">
        <f t="shared" si="82"/>
        <v>Commercial - Public Water</v>
      </c>
      <c r="D99" s="124" t="s">
        <v>75</v>
      </c>
      <c r="E99" s="212">
        <f>D63/$J$34</f>
        <v>133.99608918927126</v>
      </c>
      <c r="F99" s="212">
        <f>E63/$O$34</f>
        <v>110.19466800007318</v>
      </c>
      <c r="G99" s="205">
        <f t="shared" si="83"/>
        <v>110.19466800007318</v>
      </c>
      <c r="H99" s="205">
        <f>G99*(1+$I$91)</f>
        <v>88.155734400058549</v>
      </c>
      <c r="I99" s="206">
        <f t="shared" si="124"/>
        <v>88.155734400058549</v>
      </c>
      <c r="J99" s="8">
        <f t="shared" si="125"/>
        <v>133.99608918927126</v>
      </c>
      <c r="K99" s="8">
        <f t="shared" si="126"/>
        <v>129.23580495143165</v>
      </c>
      <c r="L99" s="8">
        <f t="shared" si="85"/>
        <v>124.47552071359203</v>
      </c>
      <c r="M99" s="8">
        <f>IF(M$8=-1,N99,IF(M$8=99,L99,IF(M$8=0,INDEX($E99:$I99,0,M$6),(INDEX($E99:$I99,0,M$8+1)-INDEX($E99:$I99,0,M$8))/(INDEX($D$5:$H$5,0,M$8+1)-INDEX($D$5:$H$5,0,M$8))+L99)))</f>
        <v>119.71523647575242</v>
      </c>
      <c r="N99" s="8">
        <f t="shared" si="87"/>
        <v>114.95495223791281</v>
      </c>
      <c r="O99" s="8">
        <f t="shared" si="88"/>
        <v>110.19466800007318</v>
      </c>
      <c r="P99" s="8">
        <f t="shared" si="89"/>
        <v>110.19466800007318</v>
      </c>
      <c r="Q99" s="8">
        <f t="shared" si="90"/>
        <v>110.19466800007318</v>
      </c>
      <c r="R99" s="8">
        <f t="shared" si="91"/>
        <v>110.19466800007318</v>
      </c>
      <c r="S99" s="8">
        <f t="shared" si="92"/>
        <v>107.99077464007172</v>
      </c>
      <c r="T99" s="8">
        <f t="shared" si="93"/>
        <v>105.78688128007026</v>
      </c>
      <c r="U99" s="8">
        <f t="shared" si="94"/>
        <v>103.5829879200688</v>
      </c>
      <c r="V99" s="8">
        <f t="shared" si="95"/>
        <v>101.37909456006734</v>
      </c>
      <c r="W99" s="8">
        <f t="shared" si="96"/>
        <v>99.175201200065885</v>
      </c>
      <c r="X99" s="8">
        <f t="shared" si="97"/>
        <v>96.971307840064426</v>
      </c>
      <c r="Y99" s="8">
        <f t="shared" si="98"/>
        <v>94.767414480062968</v>
      </c>
      <c r="Z99" s="8">
        <f t="shared" si="99"/>
        <v>92.563521120061509</v>
      </c>
      <c r="AA99" s="8">
        <f t="shared" si="100"/>
        <v>90.35962776006005</v>
      </c>
      <c r="AB99" s="8">
        <f t="shared" si="101"/>
        <v>88.155734400058549</v>
      </c>
      <c r="AC99" s="8">
        <f t="shared" si="102"/>
        <v>88.155734400058549</v>
      </c>
      <c r="AD99" s="8">
        <f t="shared" si="103"/>
        <v>88.155734400058549</v>
      </c>
      <c r="AE99" s="8">
        <f t="shared" si="104"/>
        <v>88.155734400058549</v>
      </c>
      <c r="AF99" s="8">
        <f t="shared" si="105"/>
        <v>88.155734400058549</v>
      </c>
      <c r="AG99" s="8">
        <f t="shared" si="106"/>
        <v>88.155734400058549</v>
      </c>
      <c r="AH99" s="8">
        <f t="shared" si="107"/>
        <v>88.155734400058549</v>
      </c>
      <c r="AI99" s="8">
        <f t="shared" si="108"/>
        <v>88.155734400058549</v>
      </c>
      <c r="AJ99" s="8">
        <f t="shared" si="109"/>
        <v>88.155734400058549</v>
      </c>
      <c r="AK99" s="8">
        <f t="shared" si="110"/>
        <v>88.155734400058549</v>
      </c>
      <c r="AL99" s="8">
        <f t="shared" si="111"/>
        <v>88.155734400058549</v>
      </c>
      <c r="AM99" s="8">
        <f t="shared" si="112"/>
        <v>88.155734400058549</v>
      </c>
      <c r="AN99" s="8">
        <f t="shared" si="113"/>
        <v>88.155734400058549</v>
      </c>
      <c r="AO99" s="8">
        <f t="shared" si="114"/>
        <v>88.155734400058549</v>
      </c>
      <c r="AP99" s="8">
        <f t="shared" si="115"/>
        <v>88.155734400058549</v>
      </c>
      <c r="AQ99" s="8">
        <f t="shared" si="116"/>
        <v>88.155734400058549</v>
      </c>
      <c r="AR99" s="8">
        <f t="shared" si="117"/>
        <v>88.155734400058549</v>
      </c>
      <c r="AS99" s="8">
        <f t="shared" si="118"/>
        <v>88.155734400058549</v>
      </c>
      <c r="AT99" s="8">
        <f t="shared" si="119"/>
        <v>88.155734400058549</v>
      </c>
      <c r="AU99" s="8">
        <f t="shared" si="120"/>
        <v>88.155734400058549</v>
      </c>
      <c r="AV99" s="8">
        <f t="shared" si="121"/>
        <v>88.155734400058549</v>
      </c>
    </row>
    <row r="100" spans="1:50">
      <c r="A100" s="4" t="s">
        <v>16</v>
      </c>
      <c r="B100" s="174" t="str">
        <f t="shared" si="122"/>
        <v>CEO</v>
      </c>
      <c r="C100" s="96" t="str">
        <f t="shared" si="82"/>
        <v>Commercial - Other</v>
      </c>
      <c r="D100" s="102" t="s">
        <v>75</v>
      </c>
      <c r="E100" s="107">
        <f t="shared" si="123"/>
        <v>141.24997285391134</v>
      </c>
      <c r="F100" s="120">
        <f t="shared" si="123"/>
        <v>122.21640392690337</v>
      </c>
      <c r="G100" s="120">
        <f t="shared" si="83"/>
        <v>122.21640392690337</v>
      </c>
      <c r="H100" s="120">
        <f>G100*(1+$H$91)</f>
        <v>91.66230294517753</v>
      </c>
      <c r="I100" s="178">
        <f t="shared" si="124"/>
        <v>91.66230294517753</v>
      </c>
      <c r="J100" s="8">
        <f t="shared" si="125"/>
        <v>141.24997285391134</v>
      </c>
      <c r="K100" s="8">
        <f t="shared" si="126"/>
        <v>137.44325906850975</v>
      </c>
      <c r="L100" s="8">
        <f t="shared" si="85"/>
        <v>133.63654528310815</v>
      </c>
      <c r="M100" s="8">
        <f>IF(M$8=-1,N100,IF(M$8=99,L100,IF(M$8=0,INDEX($E100:$I100,0,M$6),(INDEX($E100:$I100,0,M$8+1)-INDEX($E100:$I100,0,M$8))/(INDEX($D$5:$H$5,0,M$8+1)-INDEX($D$5:$H$5,0,M$8))+L100)))</f>
        <v>129.82983149770655</v>
      </c>
      <c r="N100" s="8">
        <f t="shared" si="87"/>
        <v>126.02311771230495</v>
      </c>
      <c r="O100" s="8">
        <f t="shared" si="88"/>
        <v>122.21640392690337</v>
      </c>
      <c r="P100" s="8">
        <f t="shared" si="89"/>
        <v>122.21640392690337</v>
      </c>
      <c r="Q100" s="8">
        <f t="shared" si="90"/>
        <v>122.21640392690337</v>
      </c>
      <c r="R100" s="8">
        <f t="shared" si="91"/>
        <v>122.21640392690337</v>
      </c>
      <c r="S100" s="8">
        <f t="shared" si="92"/>
        <v>119.16099382873078</v>
      </c>
      <c r="T100" s="8">
        <f t="shared" si="93"/>
        <v>116.10558373055819</v>
      </c>
      <c r="U100" s="8">
        <f t="shared" si="94"/>
        <v>113.05017363238561</v>
      </c>
      <c r="V100" s="8">
        <f t="shared" si="95"/>
        <v>109.99476353421302</v>
      </c>
      <c r="W100" s="8">
        <f t="shared" si="96"/>
        <v>106.93935343604043</v>
      </c>
      <c r="X100" s="8">
        <f t="shared" si="97"/>
        <v>103.88394333786785</v>
      </c>
      <c r="Y100" s="8">
        <f t="shared" si="98"/>
        <v>100.82853323969526</v>
      </c>
      <c r="Z100" s="8">
        <f t="shared" si="99"/>
        <v>97.773123141522674</v>
      </c>
      <c r="AA100" s="8">
        <f t="shared" si="100"/>
        <v>94.717713043350088</v>
      </c>
      <c r="AB100" s="8">
        <f t="shared" si="101"/>
        <v>91.66230294517753</v>
      </c>
      <c r="AC100" s="8">
        <f t="shared" si="102"/>
        <v>91.66230294517753</v>
      </c>
      <c r="AD100" s="8">
        <f t="shared" si="103"/>
        <v>91.66230294517753</v>
      </c>
      <c r="AE100" s="8">
        <f t="shared" si="104"/>
        <v>91.66230294517753</v>
      </c>
      <c r="AF100" s="8">
        <f t="shared" si="105"/>
        <v>91.66230294517753</v>
      </c>
      <c r="AG100" s="8">
        <f t="shared" si="106"/>
        <v>91.66230294517753</v>
      </c>
      <c r="AH100" s="8">
        <f t="shared" si="107"/>
        <v>91.66230294517753</v>
      </c>
      <c r="AI100" s="8">
        <f t="shared" si="108"/>
        <v>91.66230294517753</v>
      </c>
      <c r="AJ100" s="8">
        <f t="shared" si="109"/>
        <v>91.66230294517753</v>
      </c>
      <c r="AK100" s="8">
        <f t="shared" si="110"/>
        <v>91.66230294517753</v>
      </c>
      <c r="AL100" s="8">
        <f t="shared" si="111"/>
        <v>91.66230294517753</v>
      </c>
      <c r="AM100" s="8">
        <f t="shared" si="112"/>
        <v>91.66230294517753</v>
      </c>
      <c r="AN100" s="8">
        <f t="shared" si="113"/>
        <v>91.66230294517753</v>
      </c>
      <c r="AO100" s="8">
        <f t="shared" si="114"/>
        <v>91.66230294517753</v>
      </c>
      <c r="AP100" s="8">
        <f t="shared" si="115"/>
        <v>91.66230294517753</v>
      </c>
      <c r="AQ100" s="8">
        <f t="shared" si="116"/>
        <v>91.66230294517753</v>
      </c>
      <c r="AR100" s="8">
        <f t="shared" si="117"/>
        <v>91.66230294517753</v>
      </c>
      <c r="AS100" s="8">
        <f t="shared" si="118"/>
        <v>91.66230294517753</v>
      </c>
      <c r="AT100" s="8">
        <f t="shared" si="119"/>
        <v>91.66230294517753</v>
      </c>
      <c r="AU100" s="8">
        <f t="shared" si="120"/>
        <v>91.66230294517753</v>
      </c>
      <c r="AV100" s="8">
        <f t="shared" si="121"/>
        <v>91.66230294517753</v>
      </c>
    </row>
    <row r="101" spans="1:50">
      <c r="A101" s="4" t="s">
        <v>16</v>
      </c>
      <c r="B101" s="174"/>
      <c r="D101" s="102"/>
      <c r="E101" s="102"/>
      <c r="F101" s="102"/>
      <c r="G101" s="102"/>
      <c r="H101" s="102"/>
      <c r="I101" s="184"/>
      <c r="J101" s="102"/>
      <c r="K101" s="102"/>
      <c r="L101" s="102"/>
      <c r="M101" s="102"/>
      <c r="N101" s="102"/>
      <c r="O101" s="102"/>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4" t="s">
        <v>16</v>
      </c>
      <c r="E102" s="107"/>
      <c r="F102" s="107"/>
      <c r="G102" s="107"/>
      <c r="H102" s="107"/>
      <c r="I102" s="210"/>
      <c r="J102" s="121"/>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row>
    <row r="103" spans="1:50" ht="18.75">
      <c r="A103" s="4" t="s">
        <v>16</v>
      </c>
      <c r="B103" s="194" t="s">
        <v>76</v>
      </c>
      <c r="I103" s="179"/>
      <c r="J103" s="121"/>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row>
    <row r="104" spans="1:50" ht="15.75" thickBot="1">
      <c r="A104" s="4" t="s">
        <v>16</v>
      </c>
      <c r="B104" s="93"/>
      <c r="C104" s="93" t="s">
        <v>257</v>
      </c>
      <c r="D104" s="93"/>
      <c r="E104" s="93"/>
      <c r="F104" s="108"/>
      <c r="G104" s="108"/>
      <c r="H104" s="109"/>
      <c r="I104" s="181"/>
      <c r="J104" s="108">
        <f t="shared" ref="J104:AV104" si="127">J67</f>
        <v>2012</v>
      </c>
      <c r="K104" s="108">
        <f t="shared" si="127"/>
        <v>2013</v>
      </c>
      <c r="L104" s="108">
        <f t="shared" si="127"/>
        <v>2014</v>
      </c>
      <c r="M104" s="108">
        <f t="shared" si="127"/>
        <v>2015</v>
      </c>
      <c r="N104" s="108">
        <f t="shared" si="127"/>
        <v>2016</v>
      </c>
      <c r="O104" s="108">
        <f t="shared" si="127"/>
        <v>2017</v>
      </c>
      <c r="P104" s="108">
        <f t="shared" si="127"/>
        <v>2018</v>
      </c>
      <c r="Q104" s="108">
        <f t="shared" si="127"/>
        <v>2019</v>
      </c>
      <c r="R104" s="108">
        <f t="shared" si="127"/>
        <v>2020</v>
      </c>
      <c r="S104" s="108">
        <f t="shared" si="127"/>
        <v>2021</v>
      </c>
      <c r="T104" s="108">
        <f t="shared" si="127"/>
        <v>2022</v>
      </c>
      <c r="U104" s="108">
        <f t="shared" si="127"/>
        <v>2023</v>
      </c>
      <c r="V104" s="108">
        <f t="shared" si="127"/>
        <v>2024</v>
      </c>
      <c r="W104" s="108">
        <f t="shared" si="127"/>
        <v>2025</v>
      </c>
      <c r="X104" s="108">
        <f t="shared" si="127"/>
        <v>2026</v>
      </c>
      <c r="Y104" s="108">
        <f t="shared" si="127"/>
        <v>2027</v>
      </c>
      <c r="Z104" s="108">
        <f t="shared" si="127"/>
        <v>2028</v>
      </c>
      <c r="AA104" s="108">
        <f t="shared" si="127"/>
        <v>2029</v>
      </c>
      <c r="AB104" s="108">
        <f t="shared" si="127"/>
        <v>2030</v>
      </c>
      <c r="AC104" s="108">
        <f t="shared" si="127"/>
        <v>2031</v>
      </c>
      <c r="AD104" s="108">
        <f t="shared" si="127"/>
        <v>2032</v>
      </c>
      <c r="AE104" s="108">
        <f t="shared" si="127"/>
        <v>2033</v>
      </c>
      <c r="AF104" s="108">
        <f t="shared" si="127"/>
        <v>2034</v>
      </c>
      <c r="AG104" s="108">
        <f t="shared" si="127"/>
        <v>2035</v>
      </c>
      <c r="AH104" s="108">
        <f t="shared" si="127"/>
        <v>2036</v>
      </c>
      <c r="AI104" s="108">
        <f t="shared" si="127"/>
        <v>2037</v>
      </c>
      <c r="AJ104" s="108">
        <f t="shared" si="127"/>
        <v>2038</v>
      </c>
      <c r="AK104" s="108">
        <f t="shared" si="127"/>
        <v>2039</v>
      </c>
      <c r="AL104" s="108">
        <f t="shared" si="127"/>
        <v>2040</v>
      </c>
      <c r="AM104" s="108">
        <f t="shared" si="127"/>
        <v>2041</v>
      </c>
      <c r="AN104" s="108">
        <f t="shared" si="127"/>
        <v>2042</v>
      </c>
      <c r="AO104" s="108">
        <f t="shared" si="127"/>
        <v>2043</v>
      </c>
      <c r="AP104" s="108">
        <f t="shared" si="127"/>
        <v>2044</v>
      </c>
      <c r="AQ104" s="108">
        <f t="shared" si="127"/>
        <v>2045</v>
      </c>
      <c r="AR104" s="108">
        <f t="shared" si="127"/>
        <v>2046</v>
      </c>
      <c r="AS104" s="108">
        <f t="shared" si="127"/>
        <v>2047</v>
      </c>
      <c r="AT104" s="108">
        <f t="shared" si="127"/>
        <v>2048</v>
      </c>
      <c r="AU104" s="108">
        <f t="shared" si="127"/>
        <v>2049</v>
      </c>
      <c r="AV104" s="108">
        <f t="shared" si="127"/>
        <v>2050</v>
      </c>
    </row>
    <row r="105" spans="1:50">
      <c r="A105" s="4" t="s">
        <v>16</v>
      </c>
      <c r="B105" s="174" t="s">
        <v>248</v>
      </c>
      <c r="C105" s="96" t="str">
        <f t="shared" ref="C105:C113" si="128">C70</f>
        <v>Commercial - Cooling</v>
      </c>
      <c r="I105" s="179"/>
      <c r="J105" s="96">
        <v>1</v>
      </c>
      <c r="K105" s="96">
        <v>1</v>
      </c>
      <c r="L105" s="96">
        <v>1</v>
      </c>
      <c r="M105" s="96">
        <v>1</v>
      </c>
      <c r="N105" s="96">
        <v>1</v>
      </c>
      <c r="O105" s="96">
        <v>1</v>
      </c>
      <c r="P105" s="96">
        <v>1</v>
      </c>
      <c r="Q105" s="96">
        <v>1</v>
      </c>
      <c r="R105" s="96">
        <v>1</v>
      </c>
      <c r="S105" s="96">
        <v>1</v>
      </c>
      <c r="T105" s="96">
        <v>1</v>
      </c>
      <c r="U105" s="96">
        <v>1</v>
      </c>
      <c r="V105" s="96">
        <v>1</v>
      </c>
      <c r="W105" s="96">
        <v>1</v>
      </c>
      <c r="X105" s="96">
        <v>1</v>
      </c>
      <c r="Y105" s="96">
        <v>1</v>
      </c>
      <c r="Z105" s="96">
        <v>1</v>
      </c>
      <c r="AA105" s="96">
        <v>1</v>
      </c>
      <c r="AB105" s="96">
        <v>1</v>
      </c>
      <c r="AC105" s="96">
        <v>1</v>
      </c>
      <c r="AD105" s="96">
        <v>1</v>
      </c>
      <c r="AE105" s="96">
        <v>1</v>
      </c>
      <c r="AF105" s="96">
        <v>1</v>
      </c>
      <c r="AG105" s="96">
        <v>1</v>
      </c>
      <c r="AH105" s="96">
        <v>1</v>
      </c>
      <c r="AI105" s="96">
        <v>1</v>
      </c>
      <c r="AJ105" s="96">
        <v>1</v>
      </c>
      <c r="AK105" s="96">
        <v>1</v>
      </c>
      <c r="AL105" s="96">
        <v>1</v>
      </c>
      <c r="AM105" s="96">
        <v>1</v>
      </c>
      <c r="AN105" s="96">
        <v>1</v>
      </c>
      <c r="AO105" s="96">
        <v>1</v>
      </c>
      <c r="AP105" s="96">
        <v>1</v>
      </c>
      <c r="AQ105" s="96">
        <v>1</v>
      </c>
      <c r="AR105" s="96">
        <v>1</v>
      </c>
      <c r="AS105" s="96">
        <v>1</v>
      </c>
      <c r="AT105" s="96">
        <v>1</v>
      </c>
      <c r="AU105" s="96">
        <v>1</v>
      </c>
      <c r="AV105" s="96">
        <v>1</v>
      </c>
    </row>
    <row r="106" spans="1:50">
      <c r="A106" s="4" t="s">
        <v>16</v>
      </c>
      <c r="B106" s="174" t="s">
        <v>249</v>
      </c>
      <c r="C106" s="96" t="str">
        <f t="shared" si="128"/>
        <v>Commercial - Space Heating</v>
      </c>
      <c r="I106" s="179"/>
      <c r="J106" s="96">
        <v>1</v>
      </c>
      <c r="K106" s="96">
        <v>1</v>
      </c>
      <c r="L106" s="96">
        <v>1</v>
      </c>
      <c r="M106" s="96">
        <v>1</v>
      </c>
      <c r="N106" s="96">
        <v>1</v>
      </c>
      <c r="O106" s="96">
        <v>1</v>
      </c>
      <c r="P106" s="96">
        <v>1</v>
      </c>
      <c r="Q106" s="96">
        <v>1</v>
      </c>
      <c r="R106" s="96">
        <v>1</v>
      </c>
      <c r="S106" s="96">
        <v>1</v>
      </c>
      <c r="T106" s="96">
        <v>1</v>
      </c>
      <c r="U106" s="96">
        <v>1</v>
      </c>
      <c r="V106" s="96">
        <v>1</v>
      </c>
      <c r="W106" s="96">
        <v>1</v>
      </c>
      <c r="X106" s="96">
        <v>1</v>
      </c>
      <c r="Y106" s="96">
        <v>1</v>
      </c>
      <c r="Z106" s="96">
        <v>1</v>
      </c>
      <c r="AA106" s="96">
        <v>1</v>
      </c>
      <c r="AB106" s="96">
        <v>1</v>
      </c>
      <c r="AC106" s="96">
        <v>1</v>
      </c>
      <c r="AD106" s="96">
        <v>1</v>
      </c>
      <c r="AE106" s="96">
        <v>1</v>
      </c>
      <c r="AF106" s="96">
        <v>1</v>
      </c>
      <c r="AG106" s="96">
        <v>1</v>
      </c>
      <c r="AH106" s="96">
        <v>1</v>
      </c>
      <c r="AI106" s="96">
        <v>1</v>
      </c>
      <c r="AJ106" s="96">
        <v>1</v>
      </c>
      <c r="AK106" s="96">
        <v>1</v>
      </c>
      <c r="AL106" s="96">
        <v>1</v>
      </c>
      <c r="AM106" s="96">
        <v>1</v>
      </c>
      <c r="AN106" s="96">
        <v>1</v>
      </c>
      <c r="AO106" s="96">
        <v>1</v>
      </c>
      <c r="AP106" s="96">
        <v>1</v>
      </c>
      <c r="AQ106" s="96">
        <v>1</v>
      </c>
      <c r="AR106" s="96">
        <v>1</v>
      </c>
      <c r="AS106" s="96">
        <v>1</v>
      </c>
      <c r="AT106" s="96">
        <v>1</v>
      </c>
      <c r="AU106" s="96">
        <v>1</v>
      </c>
      <c r="AV106" s="96">
        <v>1</v>
      </c>
      <c r="AX106" s="167">
        <v>0.01</v>
      </c>
    </row>
    <row r="107" spans="1:50">
      <c r="A107" s="4" t="s">
        <v>16</v>
      </c>
      <c r="B107" s="174" t="s">
        <v>250</v>
      </c>
      <c r="C107" s="96" t="str">
        <f t="shared" si="128"/>
        <v>Commercial - Cooking</v>
      </c>
      <c r="I107" s="179"/>
      <c r="J107" s="96">
        <v>1</v>
      </c>
      <c r="K107" s="96">
        <v>1</v>
      </c>
      <c r="L107" s="96">
        <v>1</v>
      </c>
      <c r="M107" s="96">
        <v>1</v>
      </c>
      <c r="N107" s="96">
        <v>1</v>
      </c>
      <c r="O107" s="96">
        <v>1</v>
      </c>
      <c r="P107" s="96">
        <v>1</v>
      </c>
      <c r="Q107" s="96">
        <v>1</v>
      </c>
      <c r="R107" s="96">
        <v>1</v>
      </c>
      <c r="S107" s="96">
        <v>1</v>
      </c>
      <c r="T107" s="96">
        <v>1</v>
      </c>
      <c r="U107" s="96">
        <v>1</v>
      </c>
      <c r="V107" s="96">
        <v>1</v>
      </c>
      <c r="W107" s="96">
        <v>1</v>
      </c>
      <c r="X107" s="96">
        <v>1</v>
      </c>
      <c r="Y107" s="96">
        <v>1</v>
      </c>
      <c r="Z107" s="96">
        <v>1</v>
      </c>
      <c r="AA107" s="96">
        <v>1</v>
      </c>
      <c r="AB107" s="96">
        <v>1</v>
      </c>
      <c r="AC107" s="96">
        <v>1</v>
      </c>
      <c r="AD107" s="96">
        <v>1</v>
      </c>
      <c r="AE107" s="96">
        <v>1</v>
      </c>
      <c r="AF107" s="96">
        <v>1</v>
      </c>
      <c r="AG107" s="96">
        <v>1</v>
      </c>
      <c r="AH107" s="96">
        <v>1</v>
      </c>
      <c r="AI107" s="96">
        <v>1</v>
      </c>
      <c r="AJ107" s="96">
        <v>1</v>
      </c>
      <c r="AK107" s="96">
        <v>1</v>
      </c>
      <c r="AL107" s="96">
        <v>1</v>
      </c>
      <c r="AM107" s="96">
        <v>1</v>
      </c>
      <c r="AN107" s="96">
        <v>1</v>
      </c>
      <c r="AO107" s="96">
        <v>1</v>
      </c>
      <c r="AP107" s="96">
        <v>1</v>
      </c>
      <c r="AQ107" s="96">
        <v>1</v>
      </c>
      <c r="AR107" s="96">
        <v>1</v>
      </c>
      <c r="AS107" s="96">
        <v>1</v>
      </c>
      <c r="AT107" s="96">
        <v>1</v>
      </c>
      <c r="AU107" s="96">
        <v>1</v>
      </c>
      <c r="AV107" s="96">
        <v>1</v>
      </c>
      <c r="AX107" s="166" t="s">
        <v>489</v>
      </c>
    </row>
    <row r="108" spans="1:50">
      <c r="A108" s="4" t="s">
        <v>16</v>
      </c>
      <c r="B108" s="174" t="s">
        <v>251</v>
      </c>
      <c r="C108" s="96" t="str">
        <f t="shared" si="128"/>
        <v>Commercial - Lighting</v>
      </c>
      <c r="I108" s="179"/>
      <c r="J108" s="96">
        <v>1</v>
      </c>
      <c r="K108" s="96">
        <v>1</v>
      </c>
      <c r="L108" s="96">
        <v>1</v>
      </c>
      <c r="M108" s="96">
        <v>1</v>
      </c>
      <c r="N108" s="96">
        <v>1</v>
      </c>
      <c r="O108" s="96">
        <v>1</v>
      </c>
      <c r="P108" s="96">
        <v>1</v>
      </c>
      <c r="Q108" s="96">
        <v>1</v>
      </c>
      <c r="R108" s="96">
        <v>1</v>
      </c>
      <c r="S108" s="96">
        <v>1</v>
      </c>
      <c r="T108" s="96">
        <v>1</v>
      </c>
      <c r="U108" s="96">
        <v>1</v>
      </c>
      <c r="V108" s="96">
        <v>1</v>
      </c>
      <c r="W108" s="96">
        <v>1</v>
      </c>
      <c r="X108" s="96">
        <v>1</v>
      </c>
      <c r="Y108" s="96">
        <v>1</v>
      </c>
      <c r="Z108" s="96">
        <v>1</v>
      </c>
      <c r="AA108" s="96">
        <v>1</v>
      </c>
      <c r="AB108" s="96">
        <v>1</v>
      </c>
      <c r="AC108" s="96">
        <v>1</v>
      </c>
      <c r="AD108" s="96">
        <v>1</v>
      </c>
      <c r="AE108" s="96">
        <v>1</v>
      </c>
      <c r="AF108" s="96">
        <v>1</v>
      </c>
      <c r="AG108" s="96">
        <v>1</v>
      </c>
      <c r="AH108" s="96">
        <v>1</v>
      </c>
      <c r="AI108" s="96">
        <v>1</v>
      </c>
      <c r="AJ108" s="96">
        <v>1</v>
      </c>
      <c r="AK108" s="96">
        <v>1</v>
      </c>
      <c r="AL108" s="96">
        <v>1</v>
      </c>
      <c r="AM108" s="96">
        <v>1</v>
      </c>
      <c r="AN108" s="96">
        <v>1</v>
      </c>
      <c r="AO108" s="96">
        <v>1</v>
      </c>
      <c r="AP108" s="96">
        <v>1</v>
      </c>
      <c r="AQ108" s="96">
        <v>1</v>
      </c>
      <c r="AR108" s="96">
        <v>1</v>
      </c>
      <c r="AS108" s="96">
        <v>1</v>
      </c>
      <c r="AT108" s="96">
        <v>1</v>
      </c>
      <c r="AU108" s="96">
        <v>1</v>
      </c>
      <c r="AV108" s="96">
        <v>1</v>
      </c>
      <c r="AX108" s="166" t="s">
        <v>490</v>
      </c>
    </row>
    <row r="109" spans="1:50">
      <c r="A109" s="4" t="s">
        <v>16</v>
      </c>
      <c r="B109" s="174" t="s">
        <v>252</v>
      </c>
      <c r="C109" s="96" t="str">
        <f t="shared" si="128"/>
        <v>Commercial - Refrigeration</v>
      </c>
      <c r="I109" s="179"/>
      <c r="J109" s="96">
        <v>1</v>
      </c>
      <c r="K109" s="96">
        <v>1</v>
      </c>
      <c r="L109" s="96">
        <v>1</v>
      </c>
      <c r="M109" s="96">
        <v>1</v>
      </c>
      <c r="N109" s="96">
        <v>1</v>
      </c>
      <c r="O109" s="96">
        <v>1</v>
      </c>
      <c r="P109" s="96">
        <v>1</v>
      </c>
      <c r="Q109" s="96">
        <v>1</v>
      </c>
      <c r="R109" s="96">
        <v>1</v>
      </c>
      <c r="S109" s="96">
        <v>1</v>
      </c>
      <c r="T109" s="96">
        <v>1</v>
      </c>
      <c r="U109" s="96">
        <v>1</v>
      </c>
      <c r="V109" s="96">
        <v>1</v>
      </c>
      <c r="W109" s="96">
        <v>1</v>
      </c>
      <c r="X109" s="96">
        <v>1</v>
      </c>
      <c r="Y109" s="96">
        <v>1</v>
      </c>
      <c r="Z109" s="96">
        <v>1</v>
      </c>
      <c r="AA109" s="96">
        <v>1</v>
      </c>
      <c r="AB109" s="96">
        <v>1</v>
      </c>
      <c r="AC109" s="96">
        <v>1</v>
      </c>
      <c r="AD109" s="96">
        <v>1</v>
      </c>
      <c r="AE109" s="96">
        <v>1</v>
      </c>
      <c r="AF109" s="96">
        <v>1</v>
      </c>
      <c r="AG109" s="96">
        <v>1</v>
      </c>
      <c r="AH109" s="96">
        <v>1</v>
      </c>
      <c r="AI109" s="96">
        <v>1</v>
      </c>
      <c r="AJ109" s="96">
        <v>1</v>
      </c>
      <c r="AK109" s="96">
        <v>1</v>
      </c>
      <c r="AL109" s="96">
        <v>1</v>
      </c>
      <c r="AM109" s="96">
        <v>1</v>
      </c>
      <c r="AN109" s="96">
        <v>1</v>
      </c>
      <c r="AO109" s="96">
        <v>1</v>
      </c>
      <c r="AP109" s="96">
        <v>1</v>
      </c>
      <c r="AQ109" s="96">
        <v>1</v>
      </c>
      <c r="AR109" s="96">
        <v>1</v>
      </c>
      <c r="AS109" s="96">
        <v>1</v>
      </c>
      <c r="AT109" s="96">
        <v>1</v>
      </c>
      <c r="AU109" s="96">
        <v>1</v>
      </c>
      <c r="AV109" s="96">
        <v>1</v>
      </c>
    </row>
    <row r="110" spans="1:50">
      <c r="A110" s="4" t="s">
        <v>16</v>
      </c>
      <c r="B110" s="174" t="s">
        <v>253</v>
      </c>
      <c r="C110" s="96" t="str">
        <f t="shared" si="128"/>
        <v>Commercial - Water Heating</v>
      </c>
      <c r="I110" s="179"/>
      <c r="J110" s="96">
        <v>1</v>
      </c>
      <c r="K110" s="96">
        <v>1</v>
      </c>
      <c r="L110" s="96">
        <v>1</v>
      </c>
      <c r="M110" s="96">
        <v>1</v>
      </c>
      <c r="N110" s="96">
        <v>1</v>
      </c>
      <c r="O110" s="96">
        <v>1</v>
      </c>
      <c r="P110" s="96">
        <v>1</v>
      </c>
      <c r="Q110" s="96">
        <v>1</v>
      </c>
      <c r="R110" s="96">
        <v>1</v>
      </c>
      <c r="S110" s="96">
        <v>1</v>
      </c>
      <c r="T110" s="96">
        <v>1</v>
      </c>
      <c r="U110" s="96">
        <v>1</v>
      </c>
      <c r="V110" s="96">
        <v>1</v>
      </c>
      <c r="W110" s="96">
        <v>1</v>
      </c>
      <c r="X110" s="96">
        <v>1</v>
      </c>
      <c r="Y110" s="96">
        <v>1</v>
      </c>
      <c r="Z110" s="96">
        <v>1</v>
      </c>
      <c r="AA110" s="96">
        <v>1</v>
      </c>
      <c r="AB110" s="96">
        <v>1</v>
      </c>
      <c r="AC110" s="96">
        <v>1</v>
      </c>
      <c r="AD110" s="96">
        <v>1</v>
      </c>
      <c r="AE110" s="96">
        <v>1</v>
      </c>
      <c r="AF110" s="96">
        <v>1</v>
      </c>
      <c r="AG110" s="96">
        <v>1</v>
      </c>
      <c r="AH110" s="96">
        <v>1</v>
      </c>
      <c r="AI110" s="96">
        <v>1</v>
      </c>
      <c r="AJ110" s="96">
        <v>1</v>
      </c>
      <c r="AK110" s="96">
        <v>1</v>
      </c>
      <c r="AL110" s="96">
        <v>1</v>
      </c>
      <c r="AM110" s="96">
        <v>1</v>
      </c>
      <c r="AN110" s="96">
        <v>1</v>
      </c>
      <c r="AO110" s="96">
        <v>1</v>
      </c>
      <c r="AP110" s="96">
        <v>1</v>
      </c>
      <c r="AQ110" s="96">
        <v>1</v>
      </c>
      <c r="AR110" s="96">
        <v>1</v>
      </c>
      <c r="AS110" s="96">
        <v>1</v>
      </c>
      <c r="AT110" s="96">
        <v>1</v>
      </c>
      <c r="AU110" s="96">
        <v>1</v>
      </c>
      <c r="AV110" s="96">
        <v>1</v>
      </c>
    </row>
    <row r="111" spans="1:50">
      <c r="A111" s="4" t="s">
        <v>16</v>
      </c>
      <c r="B111" s="174" t="s">
        <v>254</v>
      </c>
      <c r="C111" s="96" t="str">
        <f t="shared" si="128"/>
        <v>Commercial - Public lights</v>
      </c>
      <c r="I111" s="179"/>
      <c r="J111" s="96">
        <v>1</v>
      </c>
      <c r="K111" s="96">
        <v>1</v>
      </c>
      <c r="L111" s="96">
        <v>1</v>
      </c>
      <c r="M111" s="96">
        <v>1</v>
      </c>
      <c r="N111" s="96">
        <v>1</v>
      </c>
      <c r="O111" s="96">
        <v>1</v>
      </c>
      <c r="P111" s="96">
        <v>1</v>
      </c>
      <c r="Q111" s="96">
        <v>1</v>
      </c>
      <c r="R111" s="96">
        <v>1</v>
      </c>
      <c r="S111" s="96">
        <v>1</v>
      </c>
      <c r="T111" s="96">
        <v>1</v>
      </c>
      <c r="U111" s="96">
        <v>1</v>
      </c>
      <c r="V111" s="96">
        <v>1</v>
      </c>
      <c r="W111" s="96">
        <v>1</v>
      </c>
      <c r="X111" s="96">
        <v>1</v>
      </c>
      <c r="Y111" s="96">
        <v>1</v>
      </c>
      <c r="Z111" s="96">
        <v>1</v>
      </c>
      <c r="AA111" s="96">
        <v>1</v>
      </c>
      <c r="AB111" s="96">
        <v>1</v>
      </c>
      <c r="AC111" s="96">
        <v>1</v>
      </c>
      <c r="AD111" s="96">
        <v>1</v>
      </c>
      <c r="AE111" s="96">
        <v>1</v>
      </c>
      <c r="AF111" s="96">
        <v>1</v>
      </c>
      <c r="AG111" s="96">
        <v>1</v>
      </c>
      <c r="AH111" s="96">
        <v>1</v>
      </c>
      <c r="AI111" s="96">
        <v>1</v>
      </c>
      <c r="AJ111" s="96">
        <v>1</v>
      </c>
      <c r="AK111" s="96">
        <v>1</v>
      </c>
      <c r="AL111" s="96">
        <v>1</v>
      </c>
      <c r="AM111" s="96">
        <v>1</v>
      </c>
      <c r="AN111" s="96">
        <v>1</v>
      </c>
      <c r="AO111" s="96">
        <v>1</v>
      </c>
      <c r="AP111" s="96">
        <v>1</v>
      </c>
      <c r="AQ111" s="96">
        <v>1</v>
      </c>
      <c r="AR111" s="96">
        <v>1</v>
      </c>
      <c r="AS111" s="96">
        <v>1</v>
      </c>
      <c r="AT111" s="96">
        <v>1</v>
      </c>
      <c r="AU111" s="96">
        <v>1</v>
      </c>
      <c r="AV111" s="96">
        <v>1</v>
      </c>
    </row>
    <row r="112" spans="1:50">
      <c r="A112" s="4" t="s">
        <v>16</v>
      </c>
      <c r="B112" s="174" t="s">
        <v>255</v>
      </c>
      <c r="C112" s="96" t="str">
        <f t="shared" si="128"/>
        <v>Commercial - Public Water</v>
      </c>
      <c r="I112" s="179"/>
      <c r="J112" s="96">
        <v>1</v>
      </c>
      <c r="K112" s="96">
        <v>1</v>
      </c>
      <c r="L112" s="96">
        <v>1</v>
      </c>
      <c r="M112" s="96">
        <v>1</v>
      </c>
      <c r="N112" s="96">
        <v>1</v>
      </c>
      <c r="O112" s="96">
        <v>1</v>
      </c>
      <c r="P112" s="96">
        <v>1</v>
      </c>
      <c r="Q112" s="96">
        <v>1</v>
      </c>
      <c r="R112" s="96">
        <v>1</v>
      </c>
      <c r="S112" s="96">
        <v>1</v>
      </c>
      <c r="T112" s="96">
        <v>1</v>
      </c>
      <c r="U112" s="96">
        <v>1</v>
      </c>
      <c r="V112" s="96">
        <v>1</v>
      </c>
      <c r="W112" s="96">
        <v>1</v>
      </c>
      <c r="X112" s="96">
        <v>1</v>
      </c>
      <c r="Y112" s="96">
        <v>1</v>
      </c>
      <c r="Z112" s="96">
        <v>1</v>
      </c>
      <c r="AA112" s="96">
        <v>1</v>
      </c>
      <c r="AB112" s="96">
        <v>1</v>
      </c>
      <c r="AC112" s="96">
        <v>1</v>
      </c>
      <c r="AD112" s="96">
        <v>1</v>
      </c>
      <c r="AE112" s="96">
        <v>1</v>
      </c>
      <c r="AF112" s="96">
        <v>1</v>
      </c>
      <c r="AG112" s="96">
        <v>1</v>
      </c>
      <c r="AH112" s="96">
        <v>1</v>
      </c>
      <c r="AI112" s="96">
        <v>1</v>
      </c>
      <c r="AJ112" s="96">
        <v>1</v>
      </c>
      <c r="AK112" s="96">
        <v>1</v>
      </c>
      <c r="AL112" s="96">
        <v>1</v>
      </c>
      <c r="AM112" s="96">
        <v>1</v>
      </c>
      <c r="AN112" s="96">
        <v>1</v>
      </c>
      <c r="AO112" s="96">
        <v>1</v>
      </c>
      <c r="AP112" s="96">
        <v>1</v>
      </c>
      <c r="AQ112" s="96">
        <v>1</v>
      </c>
      <c r="AR112" s="96">
        <v>1</v>
      </c>
      <c r="AS112" s="96">
        <v>1</v>
      </c>
      <c r="AT112" s="96">
        <v>1</v>
      </c>
      <c r="AU112" s="96">
        <v>1</v>
      </c>
      <c r="AV112" s="96">
        <v>1</v>
      </c>
    </row>
    <row r="113" spans="1:48">
      <c r="A113" s="4" t="s">
        <v>16</v>
      </c>
      <c r="B113" s="174" t="s">
        <v>256</v>
      </c>
      <c r="C113" s="96" t="str">
        <f t="shared" si="128"/>
        <v>Commercial - Other</v>
      </c>
      <c r="I113" s="179"/>
      <c r="J113" s="96">
        <v>1</v>
      </c>
      <c r="K113" s="96">
        <v>1</v>
      </c>
      <c r="L113" s="96">
        <v>1</v>
      </c>
      <c r="M113" s="96">
        <v>1</v>
      </c>
      <c r="N113" s="96">
        <v>1</v>
      </c>
      <c r="O113" s="96">
        <v>1</v>
      </c>
      <c r="P113" s="96">
        <v>1</v>
      </c>
      <c r="Q113" s="96">
        <v>1</v>
      </c>
      <c r="R113" s="96">
        <v>1</v>
      </c>
      <c r="S113" s="96">
        <v>1</v>
      </c>
      <c r="T113" s="96">
        <v>1</v>
      </c>
      <c r="U113" s="96">
        <v>1</v>
      </c>
      <c r="V113" s="96">
        <v>1</v>
      </c>
      <c r="W113" s="96">
        <v>1</v>
      </c>
      <c r="X113" s="96">
        <v>1</v>
      </c>
      <c r="Y113" s="96">
        <v>1</v>
      </c>
      <c r="Z113" s="96">
        <v>1</v>
      </c>
      <c r="AA113" s="96">
        <v>1</v>
      </c>
      <c r="AB113" s="96">
        <v>1</v>
      </c>
      <c r="AC113" s="96">
        <v>1</v>
      </c>
      <c r="AD113" s="96">
        <v>1</v>
      </c>
      <c r="AE113" s="96">
        <v>1</v>
      </c>
      <c r="AF113" s="96">
        <v>1</v>
      </c>
      <c r="AG113" s="96">
        <v>1</v>
      </c>
      <c r="AH113" s="96">
        <v>1</v>
      </c>
      <c r="AI113" s="96">
        <v>1</v>
      </c>
      <c r="AJ113" s="96">
        <v>1</v>
      </c>
      <c r="AK113" s="96">
        <v>1</v>
      </c>
      <c r="AL113" s="96">
        <v>1</v>
      </c>
      <c r="AM113" s="96">
        <v>1</v>
      </c>
      <c r="AN113" s="96">
        <v>1</v>
      </c>
      <c r="AO113" s="96">
        <v>1</v>
      </c>
      <c r="AP113" s="96">
        <v>1</v>
      </c>
      <c r="AQ113" s="96">
        <v>1</v>
      </c>
      <c r="AR113" s="96">
        <v>1</v>
      </c>
      <c r="AS113" s="96">
        <v>1</v>
      </c>
      <c r="AT113" s="96">
        <v>1</v>
      </c>
      <c r="AU113" s="96">
        <v>1</v>
      </c>
      <c r="AV113" s="96">
        <v>1</v>
      </c>
    </row>
    <row r="114" spans="1:48">
      <c r="A114" s="4" t="s">
        <v>16</v>
      </c>
      <c r="B114" s="174"/>
      <c r="I114" s="179"/>
      <c r="K114" s="96"/>
    </row>
    <row r="115" spans="1:48" ht="15.75" thickBot="1">
      <c r="A115" s="4" t="s">
        <v>16</v>
      </c>
      <c r="B115" s="174"/>
      <c r="C115" s="93" t="s">
        <v>258</v>
      </c>
      <c r="I115" s="179"/>
      <c r="K115" s="96"/>
    </row>
    <row r="116" spans="1:48">
      <c r="A116" s="4" t="s">
        <v>16</v>
      </c>
      <c r="B116" s="174" t="str">
        <f>B105</f>
        <v>CNC</v>
      </c>
      <c r="C116" s="174" t="str">
        <f>C105</f>
        <v>Commercial - Cooling</v>
      </c>
      <c r="E116" s="104">
        <v>0</v>
      </c>
      <c r="I116" s="179"/>
      <c r="J116" s="182">
        <f t="shared" ref="J116:K124" si="129">(1-$E116)</f>
        <v>1</v>
      </c>
      <c r="K116" s="127">
        <f t="shared" si="129"/>
        <v>1</v>
      </c>
      <c r="L116" s="127">
        <f t="shared" ref="L116:AV123" si="130">(1-$E116)</f>
        <v>1</v>
      </c>
      <c r="M116" s="127">
        <f t="shared" si="130"/>
        <v>1</v>
      </c>
      <c r="N116" s="127">
        <f t="shared" si="130"/>
        <v>1</v>
      </c>
      <c r="O116" s="127">
        <f t="shared" si="130"/>
        <v>1</v>
      </c>
      <c r="P116" s="127">
        <f t="shared" si="130"/>
        <v>1</v>
      </c>
      <c r="Q116" s="127">
        <f t="shared" si="130"/>
        <v>1</v>
      </c>
      <c r="R116" s="127">
        <f t="shared" si="130"/>
        <v>1</v>
      </c>
      <c r="S116" s="127">
        <f t="shared" si="130"/>
        <v>1</v>
      </c>
      <c r="T116" s="127">
        <f t="shared" si="130"/>
        <v>1</v>
      </c>
      <c r="U116" s="127">
        <f t="shared" si="130"/>
        <v>1</v>
      </c>
      <c r="V116" s="127">
        <f t="shared" si="130"/>
        <v>1</v>
      </c>
      <c r="W116" s="127">
        <f t="shared" si="130"/>
        <v>1</v>
      </c>
      <c r="X116" s="127">
        <f t="shared" si="130"/>
        <v>1</v>
      </c>
      <c r="Y116" s="127">
        <f t="shared" si="130"/>
        <v>1</v>
      </c>
      <c r="Z116" s="127">
        <f t="shared" si="130"/>
        <v>1</v>
      </c>
      <c r="AA116" s="127">
        <f t="shared" si="130"/>
        <v>1</v>
      </c>
      <c r="AB116" s="127">
        <f t="shared" si="130"/>
        <v>1</v>
      </c>
      <c r="AC116" s="127">
        <f t="shared" si="130"/>
        <v>1</v>
      </c>
      <c r="AD116" s="127">
        <f t="shared" si="130"/>
        <v>1</v>
      </c>
      <c r="AE116" s="127">
        <f t="shared" si="130"/>
        <v>1</v>
      </c>
      <c r="AF116" s="127">
        <f t="shared" si="130"/>
        <v>1</v>
      </c>
      <c r="AG116" s="127">
        <f t="shared" si="130"/>
        <v>1</v>
      </c>
      <c r="AH116" s="127">
        <f t="shared" si="130"/>
        <v>1</v>
      </c>
      <c r="AI116" s="127">
        <f t="shared" si="130"/>
        <v>1</v>
      </c>
      <c r="AJ116" s="127">
        <f t="shared" si="130"/>
        <v>1</v>
      </c>
      <c r="AK116" s="127">
        <f t="shared" si="130"/>
        <v>1</v>
      </c>
      <c r="AL116" s="127">
        <f t="shared" si="130"/>
        <v>1</v>
      </c>
      <c r="AM116" s="127">
        <f t="shared" si="130"/>
        <v>1</v>
      </c>
      <c r="AN116" s="127">
        <f t="shared" si="130"/>
        <v>1</v>
      </c>
      <c r="AO116" s="127">
        <f t="shared" si="130"/>
        <v>1</v>
      </c>
      <c r="AP116" s="127">
        <f t="shared" si="130"/>
        <v>1</v>
      </c>
      <c r="AQ116" s="127">
        <f t="shared" si="130"/>
        <v>1</v>
      </c>
      <c r="AR116" s="127">
        <f t="shared" si="130"/>
        <v>1</v>
      </c>
      <c r="AS116" s="127">
        <f t="shared" si="130"/>
        <v>1</v>
      </c>
      <c r="AT116" s="127">
        <f t="shared" si="130"/>
        <v>1</v>
      </c>
      <c r="AU116" s="127">
        <f t="shared" si="130"/>
        <v>1</v>
      </c>
      <c r="AV116" s="127">
        <f t="shared" si="130"/>
        <v>1</v>
      </c>
    </row>
    <row r="117" spans="1:48">
      <c r="A117" s="4" t="s">
        <v>16</v>
      </c>
      <c r="B117" s="174" t="str">
        <f t="shared" ref="B117:C124" si="131">B106</f>
        <v>CNH</v>
      </c>
      <c r="C117" s="174" t="str">
        <f t="shared" si="131"/>
        <v>Commercial - Space Heating</v>
      </c>
      <c r="E117" s="104">
        <v>0</v>
      </c>
      <c r="I117" s="179"/>
      <c r="J117" s="182">
        <f t="shared" si="129"/>
        <v>1</v>
      </c>
      <c r="K117" s="127">
        <f t="shared" si="129"/>
        <v>1</v>
      </c>
      <c r="L117" s="127">
        <f t="shared" ref="L117:Y117" si="132">(1-$E117)</f>
        <v>1</v>
      </c>
      <c r="M117" s="127">
        <f t="shared" si="132"/>
        <v>1</v>
      </c>
      <c r="N117" s="127">
        <f t="shared" si="132"/>
        <v>1</v>
      </c>
      <c r="O117" s="127">
        <f t="shared" si="132"/>
        <v>1</v>
      </c>
      <c r="P117" s="127">
        <f t="shared" si="132"/>
        <v>1</v>
      </c>
      <c r="Q117" s="127">
        <f t="shared" si="132"/>
        <v>1</v>
      </c>
      <c r="R117" s="127">
        <f t="shared" si="132"/>
        <v>1</v>
      </c>
      <c r="S117" s="127">
        <f t="shared" si="132"/>
        <v>1</v>
      </c>
      <c r="T117" s="127">
        <f t="shared" si="132"/>
        <v>1</v>
      </c>
      <c r="U117" s="127">
        <f t="shared" si="132"/>
        <v>1</v>
      </c>
      <c r="V117" s="127">
        <f t="shared" si="132"/>
        <v>1</v>
      </c>
      <c r="W117" s="127">
        <f t="shared" si="132"/>
        <v>1</v>
      </c>
      <c r="X117" s="127">
        <f t="shared" si="132"/>
        <v>1</v>
      </c>
      <c r="Y117" s="127">
        <f t="shared" si="132"/>
        <v>1</v>
      </c>
      <c r="Z117" s="127">
        <f t="shared" si="130"/>
        <v>1</v>
      </c>
      <c r="AA117" s="127">
        <f t="shared" si="130"/>
        <v>1</v>
      </c>
      <c r="AB117" s="127">
        <f t="shared" si="130"/>
        <v>1</v>
      </c>
      <c r="AC117" s="127">
        <f t="shared" si="130"/>
        <v>1</v>
      </c>
      <c r="AD117" s="127">
        <f t="shared" si="130"/>
        <v>1</v>
      </c>
      <c r="AE117" s="127">
        <f t="shared" si="130"/>
        <v>1</v>
      </c>
      <c r="AF117" s="127">
        <f t="shared" si="130"/>
        <v>1</v>
      </c>
      <c r="AG117" s="127">
        <f t="shared" si="130"/>
        <v>1</v>
      </c>
      <c r="AH117" s="127">
        <f t="shared" si="130"/>
        <v>1</v>
      </c>
      <c r="AI117" s="127">
        <f t="shared" si="130"/>
        <v>1</v>
      </c>
      <c r="AJ117" s="127">
        <f t="shared" si="130"/>
        <v>1</v>
      </c>
      <c r="AK117" s="127">
        <f t="shared" si="130"/>
        <v>1</v>
      </c>
      <c r="AL117" s="127">
        <f t="shared" si="130"/>
        <v>1</v>
      </c>
      <c r="AM117" s="127">
        <f t="shared" si="130"/>
        <v>1</v>
      </c>
      <c r="AN117" s="127">
        <f t="shared" si="130"/>
        <v>1</v>
      </c>
      <c r="AO117" s="127">
        <f t="shared" si="130"/>
        <v>1</v>
      </c>
      <c r="AP117" s="127">
        <f t="shared" si="130"/>
        <v>1</v>
      </c>
      <c r="AQ117" s="127">
        <f t="shared" si="130"/>
        <v>1</v>
      </c>
      <c r="AR117" s="127">
        <f t="shared" si="130"/>
        <v>1</v>
      </c>
      <c r="AS117" s="127">
        <f t="shared" si="130"/>
        <v>1</v>
      </c>
      <c r="AT117" s="127">
        <f t="shared" si="130"/>
        <v>1</v>
      </c>
      <c r="AU117" s="127">
        <f t="shared" si="130"/>
        <v>1</v>
      </c>
      <c r="AV117" s="127">
        <f t="shared" si="130"/>
        <v>1</v>
      </c>
    </row>
    <row r="118" spans="1:48">
      <c r="A118" s="4" t="s">
        <v>16</v>
      </c>
      <c r="B118" s="174" t="str">
        <f t="shared" si="131"/>
        <v>CNK</v>
      </c>
      <c r="C118" s="174" t="str">
        <f t="shared" si="131"/>
        <v>Commercial - Cooking</v>
      </c>
      <c r="E118" s="104">
        <v>0</v>
      </c>
      <c r="I118" s="179"/>
      <c r="J118" s="182">
        <f t="shared" si="129"/>
        <v>1</v>
      </c>
      <c r="K118" s="127">
        <f t="shared" si="129"/>
        <v>1</v>
      </c>
      <c r="L118" s="127">
        <f t="shared" si="130"/>
        <v>1</v>
      </c>
      <c r="M118" s="127">
        <f>(1-$E118)</f>
        <v>1</v>
      </c>
      <c r="N118" s="127">
        <f t="shared" si="130"/>
        <v>1</v>
      </c>
      <c r="O118" s="127">
        <f t="shared" si="130"/>
        <v>1</v>
      </c>
      <c r="P118" s="127">
        <f t="shared" si="130"/>
        <v>1</v>
      </c>
      <c r="Q118" s="127">
        <f t="shared" si="130"/>
        <v>1</v>
      </c>
      <c r="R118" s="127">
        <f t="shared" si="130"/>
        <v>1</v>
      </c>
      <c r="S118" s="127">
        <f t="shared" si="130"/>
        <v>1</v>
      </c>
      <c r="T118" s="127">
        <f t="shared" si="130"/>
        <v>1</v>
      </c>
      <c r="U118" s="127">
        <f t="shared" si="130"/>
        <v>1</v>
      </c>
      <c r="V118" s="127">
        <f t="shared" si="130"/>
        <v>1</v>
      </c>
      <c r="W118" s="127">
        <f t="shared" si="130"/>
        <v>1</v>
      </c>
      <c r="X118" s="127">
        <f t="shared" si="130"/>
        <v>1</v>
      </c>
      <c r="Y118" s="127">
        <f t="shared" si="130"/>
        <v>1</v>
      </c>
      <c r="Z118" s="127">
        <f t="shared" si="130"/>
        <v>1</v>
      </c>
      <c r="AA118" s="127">
        <f t="shared" si="130"/>
        <v>1</v>
      </c>
      <c r="AB118" s="127">
        <f t="shared" si="130"/>
        <v>1</v>
      </c>
      <c r="AC118" s="127">
        <f t="shared" si="130"/>
        <v>1</v>
      </c>
      <c r="AD118" s="127">
        <f t="shared" si="130"/>
        <v>1</v>
      </c>
      <c r="AE118" s="127">
        <f t="shared" si="130"/>
        <v>1</v>
      </c>
      <c r="AF118" s="127">
        <f t="shared" si="130"/>
        <v>1</v>
      </c>
      <c r="AG118" s="127">
        <f t="shared" si="130"/>
        <v>1</v>
      </c>
      <c r="AH118" s="127">
        <f t="shared" si="130"/>
        <v>1</v>
      </c>
      <c r="AI118" s="127">
        <f t="shared" si="130"/>
        <v>1</v>
      </c>
      <c r="AJ118" s="127">
        <f t="shared" si="130"/>
        <v>1</v>
      </c>
      <c r="AK118" s="127">
        <f t="shared" si="130"/>
        <v>1</v>
      </c>
      <c r="AL118" s="127">
        <f t="shared" si="130"/>
        <v>1</v>
      </c>
      <c r="AM118" s="127">
        <f t="shared" si="130"/>
        <v>1</v>
      </c>
      <c r="AN118" s="127">
        <f t="shared" si="130"/>
        <v>1</v>
      </c>
      <c r="AO118" s="127">
        <f t="shared" si="130"/>
        <v>1</v>
      </c>
      <c r="AP118" s="127">
        <f t="shared" si="130"/>
        <v>1</v>
      </c>
      <c r="AQ118" s="127">
        <f t="shared" si="130"/>
        <v>1</v>
      </c>
      <c r="AR118" s="127">
        <f t="shared" si="130"/>
        <v>1</v>
      </c>
      <c r="AS118" s="127">
        <f t="shared" si="130"/>
        <v>1</v>
      </c>
      <c r="AT118" s="127">
        <f t="shared" si="130"/>
        <v>1</v>
      </c>
      <c r="AU118" s="127">
        <f t="shared" si="130"/>
        <v>1</v>
      </c>
      <c r="AV118" s="127">
        <f t="shared" si="130"/>
        <v>1</v>
      </c>
    </row>
    <row r="119" spans="1:48">
      <c r="A119" s="4" t="s">
        <v>16</v>
      </c>
      <c r="B119" s="174" t="str">
        <f t="shared" si="131"/>
        <v>CNL</v>
      </c>
      <c r="C119" s="174" t="str">
        <f t="shared" si="131"/>
        <v>Commercial - Lighting</v>
      </c>
      <c r="E119" s="104">
        <v>0</v>
      </c>
      <c r="I119" s="179"/>
      <c r="J119" s="182">
        <f t="shared" si="129"/>
        <v>1</v>
      </c>
      <c r="K119" s="127">
        <f t="shared" si="129"/>
        <v>1</v>
      </c>
      <c r="L119" s="127">
        <f t="shared" si="130"/>
        <v>1</v>
      </c>
      <c r="M119" s="127">
        <f t="shared" si="130"/>
        <v>1</v>
      </c>
      <c r="N119" s="127">
        <f t="shared" si="130"/>
        <v>1</v>
      </c>
      <c r="O119" s="127">
        <f t="shared" si="130"/>
        <v>1</v>
      </c>
      <c r="P119" s="127">
        <f t="shared" si="130"/>
        <v>1</v>
      </c>
      <c r="Q119" s="127">
        <f t="shared" si="130"/>
        <v>1</v>
      </c>
      <c r="R119" s="127">
        <f t="shared" si="130"/>
        <v>1</v>
      </c>
      <c r="S119" s="127">
        <f t="shared" si="130"/>
        <v>1</v>
      </c>
      <c r="T119" s="127">
        <f t="shared" si="130"/>
        <v>1</v>
      </c>
      <c r="U119" s="127">
        <f t="shared" si="130"/>
        <v>1</v>
      </c>
      <c r="V119" s="127">
        <f t="shared" si="130"/>
        <v>1</v>
      </c>
      <c r="W119" s="127">
        <f t="shared" si="130"/>
        <v>1</v>
      </c>
      <c r="X119" s="127">
        <f t="shared" si="130"/>
        <v>1</v>
      </c>
      <c r="Y119" s="127">
        <f t="shared" si="130"/>
        <v>1</v>
      </c>
      <c r="Z119" s="127">
        <f t="shared" si="130"/>
        <v>1</v>
      </c>
      <c r="AA119" s="127">
        <f t="shared" si="130"/>
        <v>1</v>
      </c>
      <c r="AB119" s="127">
        <f t="shared" si="130"/>
        <v>1</v>
      </c>
      <c r="AC119" s="127">
        <f t="shared" si="130"/>
        <v>1</v>
      </c>
      <c r="AD119" s="127">
        <f t="shared" si="130"/>
        <v>1</v>
      </c>
      <c r="AE119" s="127">
        <f t="shared" si="130"/>
        <v>1</v>
      </c>
      <c r="AF119" s="127">
        <f t="shared" si="130"/>
        <v>1</v>
      </c>
      <c r="AG119" s="127">
        <f t="shared" si="130"/>
        <v>1</v>
      </c>
      <c r="AH119" s="127">
        <f t="shared" si="130"/>
        <v>1</v>
      </c>
      <c r="AI119" s="127">
        <f t="shared" si="130"/>
        <v>1</v>
      </c>
      <c r="AJ119" s="127">
        <f t="shared" si="130"/>
        <v>1</v>
      </c>
      <c r="AK119" s="127">
        <f t="shared" si="130"/>
        <v>1</v>
      </c>
      <c r="AL119" s="127">
        <f t="shared" si="130"/>
        <v>1</v>
      </c>
      <c r="AM119" s="127">
        <f t="shared" si="130"/>
        <v>1</v>
      </c>
      <c r="AN119" s="127">
        <f t="shared" si="130"/>
        <v>1</v>
      </c>
      <c r="AO119" s="127">
        <f t="shared" si="130"/>
        <v>1</v>
      </c>
      <c r="AP119" s="127">
        <f t="shared" si="130"/>
        <v>1</v>
      </c>
      <c r="AQ119" s="127">
        <f t="shared" si="130"/>
        <v>1</v>
      </c>
      <c r="AR119" s="127">
        <f t="shared" si="130"/>
        <v>1</v>
      </c>
      <c r="AS119" s="127">
        <f t="shared" si="130"/>
        <v>1</v>
      </c>
      <c r="AT119" s="127">
        <f t="shared" si="130"/>
        <v>1</v>
      </c>
      <c r="AU119" s="127">
        <f t="shared" si="130"/>
        <v>1</v>
      </c>
      <c r="AV119" s="127">
        <f t="shared" si="130"/>
        <v>1</v>
      </c>
    </row>
    <row r="120" spans="1:48">
      <c r="A120" s="4" t="s">
        <v>16</v>
      </c>
      <c r="B120" s="174" t="str">
        <f t="shared" si="131"/>
        <v>CNR</v>
      </c>
      <c r="C120" s="174" t="str">
        <f t="shared" si="131"/>
        <v>Commercial - Refrigeration</v>
      </c>
      <c r="E120" s="104">
        <v>0</v>
      </c>
      <c r="I120" s="179"/>
      <c r="J120" s="182">
        <f t="shared" si="129"/>
        <v>1</v>
      </c>
      <c r="K120" s="127">
        <f t="shared" si="129"/>
        <v>1</v>
      </c>
      <c r="L120" s="127">
        <f t="shared" si="130"/>
        <v>1</v>
      </c>
      <c r="M120" s="127">
        <f t="shared" si="130"/>
        <v>1</v>
      </c>
      <c r="N120" s="127">
        <f t="shared" si="130"/>
        <v>1</v>
      </c>
      <c r="O120" s="127">
        <f t="shared" si="130"/>
        <v>1</v>
      </c>
      <c r="P120" s="127">
        <f t="shared" si="130"/>
        <v>1</v>
      </c>
      <c r="Q120" s="127">
        <f t="shared" si="130"/>
        <v>1</v>
      </c>
      <c r="R120" s="127">
        <f t="shared" si="130"/>
        <v>1</v>
      </c>
      <c r="S120" s="127">
        <f t="shared" si="130"/>
        <v>1</v>
      </c>
      <c r="T120" s="127">
        <f t="shared" si="130"/>
        <v>1</v>
      </c>
      <c r="U120" s="127">
        <f t="shared" si="130"/>
        <v>1</v>
      </c>
      <c r="V120" s="127">
        <f t="shared" si="130"/>
        <v>1</v>
      </c>
      <c r="W120" s="127">
        <f t="shared" si="130"/>
        <v>1</v>
      </c>
      <c r="X120" s="127">
        <f t="shared" si="130"/>
        <v>1</v>
      </c>
      <c r="Y120" s="127">
        <f t="shared" si="130"/>
        <v>1</v>
      </c>
      <c r="Z120" s="127">
        <f t="shared" si="130"/>
        <v>1</v>
      </c>
      <c r="AA120" s="127">
        <f t="shared" si="130"/>
        <v>1</v>
      </c>
      <c r="AB120" s="127">
        <f t="shared" si="130"/>
        <v>1</v>
      </c>
      <c r="AC120" s="127">
        <f t="shared" si="130"/>
        <v>1</v>
      </c>
      <c r="AD120" s="127">
        <f t="shared" si="130"/>
        <v>1</v>
      </c>
      <c r="AE120" s="127">
        <f t="shared" si="130"/>
        <v>1</v>
      </c>
      <c r="AF120" s="127">
        <f t="shared" si="130"/>
        <v>1</v>
      </c>
      <c r="AG120" s="127">
        <f t="shared" si="130"/>
        <v>1</v>
      </c>
      <c r="AH120" s="127">
        <f t="shared" si="130"/>
        <v>1</v>
      </c>
      <c r="AI120" s="127">
        <f t="shared" si="130"/>
        <v>1</v>
      </c>
      <c r="AJ120" s="127">
        <f t="shared" si="130"/>
        <v>1</v>
      </c>
      <c r="AK120" s="127">
        <f t="shared" si="130"/>
        <v>1</v>
      </c>
      <c r="AL120" s="127">
        <f t="shared" si="130"/>
        <v>1</v>
      </c>
      <c r="AM120" s="127">
        <f t="shared" si="130"/>
        <v>1</v>
      </c>
      <c r="AN120" s="127">
        <f t="shared" si="130"/>
        <v>1</v>
      </c>
      <c r="AO120" s="127">
        <f t="shared" si="130"/>
        <v>1</v>
      </c>
      <c r="AP120" s="127">
        <f t="shared" si="130"/>
        <v>1</v>
      </c>
      <c r="AQ120" s="127">
        <f t="shared" si="130"/>
        <v>1</v>
      </c>
      <c r="AR120" s="127">
        <f t="shared" si="130"/>
        <v>1</v>
      </c>
      <c r="AS120" s="127">
        <f t="shared" si="130"/>
        <v>1</v>
      </c>
      <c r="AT120" s="127">
        <f t="shared" si="130"/>
        <v>1</v>
      </c>
      <c r="AU120" s="127">
        <f t="shared" si="130"/>
        <v>1</v>
      </c>
      <c r="AV120" s="127">
        <f t="shared" si="130"/>
        <v>1</v>
      </c>
    </row>
    <row r="121" spans="1:48">
      <c r="A121" s="4" t="s">
        <v>16</v>
      </c>
      <c r="B121" s="174" t="str">
        <f t="shared" si="131"/>
        <v>CNW</v>
      </c>
      <c r="C121" s="174" t="str">
        <f t="shared" si="131"/>
        <v>Commercial - Water Heating</v>
      </c>
      <c r="E121" s="104">
        <v>0</v>
      </c>
      <c r="I121" s="179"/>
      <c r="J121" s="182">
        <f t="shared" si="129"/>
        <v>1</v>
      </c>
      <c r="K121" s="127">
        <f t="shared" si="129"/>
        <v>1</v>
      </c>
      <c r="L121" s="127">
        <f t="shared" si="130"/>
        <v>1</v>
      </c>
      <c r="M121" s="127">
        <f t="shared" si="130"/>
        <v>1</v>
      </c>
      <c r="N121" s="127">
        <f t="shared" si="130"/>
        <v>1</v>
      </c>
      <c r="O121" s="127">
        <f t="shared" si="130"/>
        <v>1</v>
      </c>
      <c r="P121" s="127">
        <f t="shared" si="130"/>
        <v>1</v>
      </c>
      <c r="Q121" s="127">
        <f t="shared" si="130"/>
        <v>1</v>
      </c>
      <c r="R121" s="127">
        <f t="shared" si="130"/>
        <v>1</v>
      </c>
      <c r="S121" s="127">
        <f t="shared" si="130"/>
        <v>1</v>
      </c>
      <c r="T121" s="127">
        <f t="shared" si="130"/>
        <v>1</v>
      </c>
      <c r="U121" s="127">
        <f t="shared" si="130"/>
        <v>1</v>
      </c>
      <c r="V121" s="127">
        <f t="shared" si="130"/>
        <v>1</v>
      </c>
      <c r="W121" s="127">
        <f t="shared" si="130"/>
        <v>1</v>
      </c>
      <c r="X121" s="127">
        <f t="shared" si="130"/>
        <v>1</v>
      </c>
      <c r="Y121" s="127">
        <f t="shared" si="130"/>
        <v>1</v>
      </c>
      <c r="Z121" s="127">
        <f t="shared" si="130"/>
        <v>1</v>
      </c>
      <c r="AA121" s="127">
        <f t="shared" si="130"/>
        <v>1</v>
      </c>
      <c r="AB121" s="127">
        <f t="shared" si="130"/>
        <v>1</v>
      </c>
      <c r="AC121" s="127">
        <f t="shared" si="130"/>
        <v>1</v>
      </c>
      <c r="AD121" s="127">
        <f t="shared" si="130"/>
        <v>1</v>
      </c>
      <c r="AE121" s="127">
        <f t="shared" si="130"/>
        <v>1</v>
      </c>
      <c r="AF121" s="127">
        <f t="shared" si="130"/>
        <v>1</v>
      </c>
      <c r="AG121" s="127">
        <f t="shared" si="130"/>
        <v>1</v>
      </c>
      <c r="AH121" s="127">
        <f t="shared" si="130"/>
        <v>1</v>
      </c>
      <c r="AI121" s="127">
        <f t="shared" si="130"/>
        <v>1</v>
      </c>
      <c r="AJ121" s="127">
        <f t="shared" si="130"/>
        <v>1</v>
      </c>
      <c r="AK121" s="127">
        <f t="shared" si="130"/>
        <v>1</v>
      </c>
      <c r="AL121" s="127">
        <f t="shared" si="130"/>
        <v>1</v>
      </c>
      <c r="AM121" s="127">
        <f t="shared" si="130"/>
        <v>1</v>
      </c>
      <c r="AN121" s="127">
        <f t="shared" si="130"/>
        <v>1</v>
      </c>
      <c r="AO121" s="127">
        <f t="shared" si="130"/>
        <v>1</v>
      </c>
      <c r="AP121" s="127">
        <f t="shared" si="130"/>
        <v>1</v>
      </c>
      <c r="AQ121" s="127">
        <f t="shared" si="130"/>
        <v>1</v>
      </c>
      <c r="AR121" s="127">
        <f t="shared" si="130"/>
        <v>1</v>
      </c>
      <c r="AS121" s="127">
        <f t="shared" si="130"/>
        <v>1</v>
      </c>
      <c r="AT121" s="127">
        <f t="shared" si="130"/>
        <v>1</v>
      </c>
      <c r="AU121" s="127">
        <f t="shared" si="130"/>
        <v>1</v>
      </c>
      <c r="AV121" s="127">
        <f t="shared" si="130"/>
        <v>1</v>
      </c>
    </row>
    <row r="122" spans="1:48">
      <c r="A122" s="4" t="s">
        <v>16</v>
      </c>
      <c r="B122" s="174" t="str">
        <f t="shared" si="131"/>
        <v>CNG</v>
      </c>
      <c r="C122" s="174" t="str">
        <f t="shared" si="131"/>
        <v>Commercial - Public lights</v>
      </c>
      <c r="E122" s="104">
        <v>0</v>
      </c>
      <c r="I122" s="179"/>
      <c r="J122" s="182">
        <f t="shared" si="129"/>
        <v>1</v>
      </c>
      <c r="K122" s="127">
        <f t="shared" si="129"/>
        <v>1</v>
      </c>
      <c r="L122" s="127">
        <f t="shared" si="130"/>
        <v>1</v>
      </c>
      <c r="M122" s="127">
        <f t="shared" si="130"/>
        <v>1</v>
      </c>
      <c r="N122" s="127">
        <f t="shared" si="130"/>
        <v>1</v>
      </c>
      <c r="O122" s="127">
        <f t="shared" si="130"/>
        <v>1</v>
      </c>
      <c r="P122" s="127">
        <f t="shared" si="130"/>
        <v>1</v>
      </c>
      <c r="Q122" s="127">
        <f t="shared" si="130"/>
        <v>1</v>
      </c>
      <c r="R122" s="127">
        <f t="shared" si="130"/>
        <v>1</v>
      </c>
      <c r="S122" s="127">
        <f t="shared" si="130"/>
        <v>1</v>
      </c>
      <c r="T122" s="127">
        <f t="shared" si="130"/>
        <v>1</v>
      </c>
      <c r="U122" s="127">
        <f t="shared" si="130"/>
        <v>1</v>
      </c>
      <c r="V122" s="127">
        <f t="shared" si="130"/>
        <v>1</v>
      </c>
      <c r="W122" s="127">
        <f t="shared" si="130"/>
        <v>1</v>
      </c>
      <c r="X122" s="127">
        <f t="shared" si="130"/>
        <v>1</v>
      </c>
      <c r="Y122" s="127">
        <f t="shared" si="130"/>
        <v>1</v>
      </c>
      <c r="Z122" s="127">
        <f t="shared" si="130"/>
        <v>1</v>
      </c>
      <c r="AA122" s="127">
        <f t="shared" si="130"/>
        <v>1</v>
      </c>
      <c r="AB122" s="127">
        <f t="shared" si="130"/>
        <v>1</v>
      </c>
      <c r="AC122" s="127">
        <f t="shared" si="130"/>
        <v>1</v>
      </c>
      <c r="AD122" s="127">
        <f t="shared" si="130"/>
        <v>1</v>
      </c>
      <c r="AE122" s="127">
        <f t="shared" si="130"/>
        <v>1</v>
      </c>
      <c r="AF122" s="127">
        <f t="shared" si="130"/>
        <v>1</v>
      </c>
      <c r="AG122" s="127">
        <f t="shared" si="130"/>
        <v>1</v>
      </c>
      <c r="AH122" s="127">
        <f t="shared" si="130"/>
        <v>1</v>
      </c>
      <c r="AI122" s="127">
        <f t="shared" si="130"/>
        <v>1</v>
      </c>
      <c r="AJ122" s="127">
        <f t="shared" si="130"/>
        <v>1</v>
      </c>
      <c r="AK122" s="127">
        <f t="shared" si="130"/>
        <v>1</v>
      </c>
      <c r="AL122" s="127">
        <f t="shared" si="130"/>
        <v>1</v>
      </c>
      <c r="AM122" s="127">
        <f t="shared" si="130"/>
        <v>1</v>
      </c>
      <c r="AN122" s="127">
        <f t="shared" si="130"/>
        <v>1</v>
      </c>
      <c r="AO122" s="127">
        <f t="shared" si="130"/>
        <v>1</v>
      </c>
      <c r="AP122" s="127">
        <f t="shared" si="130"/>
        <v>1</v>
      </c>
      <c r="AQ122" s="127">
        <f t="shared" si="130"/>
        <v>1</v>
      </c>
      <c r="AR122" s="127">
        <f t="shared" si="130"/>
        <v>1</v>
      </c>
      <c r="AS122" s="127">
        <f t="shared" si="130"/>
        <v>1</v>
      </c>
      <c r="AT122" s="127">
        <f t="shared" si="130"/>
        <v>1</v>
      </c>
      <c r="AU122" s="127">
        <f t="shared" si="130"/>
        <v>1</v>
      </c>
      <c r="AV122" s="127">
        <f t="shared" si="130"/>
        <v>1</v>
      </c>
    </row>
    <row r="123" spans="1:48">
      <c r="A123" s="4" t="s">
        <v>16</v>
      </c>
      <c r="B123" s="174" t="str">
        <f t="shared" si="131"/>
        <v>CNT</v>
      </c>
      <c r="C123" s="174" t="str">
        <f t="shared" si="131"/>
        <v>Commercial - Public Water</v>
      </c>
      <c r="E123" s="104">
        <v>0</v>
      </c>
      <c r="I123" s="179"/>
      <c r="J123" s="182">
        <f t="shared" si="129"/>
        <v>1</v>
      </c>
      <c r="K123" s="127">
        <f t="shared" si="129"/>
        <v>1</v>
      </c>
      <c r="L123" s="127">
        <f t="shared" si="130"/>
        <v>1</v>
      </c>
      <c r="M123" s="127">
        <f t="shared" si="130"/>
        <v>1</v>
      </c>
      <c r="N123" s="127">
        <f t="shared" si="130"/>
        <v>1</v>
      </c>
      <c r="O123" s="127">
        <f t="shared" si="130"/>
        <v>1</v>
      </c>
      <c r="P123" s="127">
        <f t="shared" si="130"/>
        <v>1</v>
      </c>
      <c r="Q123" s="127">
        <f t="shared" si="130"/>
        <v>1</v>
      </c>
      <c r="R123" s="127">
        <f t="shared" si="130"/>
        <v>1</v>
      </c>
      <c r="S123" s="127">
        <f t="shared" si="130"/>
        <v>1</v>
      </c>
      <c r="T123" s="127">
        <f t="shared" si="130"/>
        <v>1</v>
      </c>
      <c r="U123" s="127">
        <f t="shared" si="130"/>
        <v>1</v>
      </c>
      <c r="V123" s="127">
        <f t="shared" ref="L123:AV124" si="133">(1-$E123)</f>
        <v>1</v>
      </c>
      <c r="W123" s="127">
        <f t="shared" si="133"/>
        <v>1</v>
      </c>
      <c r="X123" s="127">
        <f t="shared" si="133"/>
        <v>1</v>
      </c>
      <c r="Y123" s="127">
        <f t="shared" si="133"/>
        <v>1</v>
      </c>
      <c r="Z123" s="127">
        <f t="shared" si="133"/>
        <v>1</v>
      </c>
      <c r="AA123" s="127">
        <f t="shared" si="133"/>
        <v>1</v>
      </c>
      <c r="AB123" s="127">
        <f t="shared" si="133"/>
        <v>1</v>
      </c>
      <c r="AC123" s="127">
        <f t="shared" si="133"/>
        <v>1</v>
      </c>
      <c r="AD123" s="127">
        <f t="shared" si="133"/>
        <v>1</v>
      </c>
      <c r="AE123" s="127">
        <f t="shared" si="133"/>
        <v>1</v>
      </c>
      <c r="AF123" s="127">
        <f t="shared" si="133"/>
        <v>1</v>
      </c>
      <c r="AG123" s="127">
        <f t="shared" si="133"/>
        <v>1</v>
      </c>
      <c r="AH123" s="127">
        <f t="shared" si="133"/>
        <v>1</v>
      </c>
      <c r="AI123" s="127">
        <f t="shared" si="133"/>
        <v>1</v>
      </c>
      <c r="AJ123" s="127">
        <f t="shared" si="133"/>
        <v>1</v>
      </c>
      <c r="AK123" s="127">
        <f t="shared" si="133"/>
        <v>1</v>
      </c>
      <c r="AL123" s="127">
        <f t="shared" si="133"/>
        <v>1</v>
      </c>
      <c r="AM123" s="127">
        <f t="shared" si="133"/>
        <v>1</v>
      </c>
      <c r="AN123" s="127">
        <f t="shared" si="133"/>
        <v>1</v>
      </c>
      <c r="AO123" s="127">
        <f t="shared" si="133"/>
        <v>1</v>
      </c>
      <c r="AP123" s="127">
        <f t="shared" si="133"/>
        <v>1</v>
      </c>
      <c r="AQ123" s="127">
        <f t="shared" si="133"/>
        <v>1</v>
      </c>
      <c r="AR123" s="127">
        <f t="shared" si="133"/>
        <v>1</v>
      </c>
      <c r="AS123" s="127">
        <f t="shared" si="133"/>
        <v>1</v>
      </c>
      <c r="AT123" s="127">
        <f t="shared" si="133"/>
        <v>1</v>
      </c>
      <c r="AU123" s="127">
        <f t="shared" si="133"/>
        <v>1</v>
      </c>
      <c r="AV123" s="127">
        <f t="shared" si="133"/>
        <v>1</v>
      </c>
    </row>
    <row r="124" spans="1:48">
      <c r="A124" s="4" t="s">
        <v>16</v>
      </c>
      <c r="B124" s="174" t="str">
        <f t="shared" si="131"/>
        <v>CNO</v>
      </c>
      <c r="C124" s="174" t="str">
        <f t="shared" si="131"/>
        <v>Commercial - Other</v>
      </c>
      <c r="E124" s="104">
        <v>0</v>
      </c>
      <c r="I124" s="179"/>
      <c r="J124" s="182">
        <f t="shared" si="129"/>
        <v>1</v>
      </c>
      <c r="K124" s="127">
        <f t="shared" si="129"/>
        <v>1</v>
      </c>
      <c r="L124" s="127">
        <f t="shared" si="133"/>
        <v>1</v>
      </c>
      <c r="M124" s="127">
        <f t="shared" si="133"/>
        <v>1</v>
      </c>
      <c r="N124" s="127">
        <f t="shared" si="133"/>
        <v>1</v>
      </c>
      <c r="O124" s="127">
        <f t="shared" si="133"/>
        <v>1</v>
      </c>
      <c r="P124" s="127">
        <f t="shared" si="133"/>
        <v>1</v>
      </c>
      <c r="Q124" s="127">
        <f t="shared" si="133"/>
        <v>1</v>
      </c>
      <c r="R124" s="127">
        <f t="shared" si="133"/>
        <v>1</v>
      </c>
      <c r="S124" s="127">
        <f t="shared" si="133"/>
        <v>1</v>
      </c>
      <c r="T124" s="127">
        <f t="shared" si="133"/>
        <v>1</v>
      </c>
      <c r="U124" s="127">
        <f t="shared" si="133"/>
        <v>1</v>
      </c>
      <c r="V124" s="127">
        <f t="shared" si="133"/>
        <v>1</v>
      </c>
      <c r="W124" s="127">
        <f t="shared" si="133"/>
        <v>1</v>
      </c>
      <c r="X124" s="127">
        <f t="shared" si="133"/>
        <v>1</v>
      </c>
      <c r="Y124" s="127">
        <f t="shared" si="133"/>
        <v>1</v>
      </c>
      <c r="Z124" s="127">
        <f t="shared" si="133"/>
        <v>1</v>
      </c>
      <c r="AA124" s="127">
        <f t="shared" si="133"/>
        <v>1</v>
      </c>
      <c r="AB124" s="127">
        <f t="shared" si="133"/>
        <v>1</v>
      </c>
      <c r="AC124" s="127">
        <f t="shared" si="133"/>
        <v>1</v>
      </c>
      <c r="AD124" s="127">
        <f t="shared" si="133"/>
        <v>1</v>
      </c>
      <c r="AE124" s="127">
        <f t="shared" si="133"/>
        <v>1</v>
      </c>
      <c r="AF124" s="127">
        <f t="shared" si="133"/>
        <v>1</v>
      </c>
      <c r="AG124" s="127">
        <f t="shared" si="133"/>
        <v>1</v>
      </c>
      <c r="AH124" s="127">
        <f t="shared" si="133"/>
        <v>1</v>
      </c>
      <c r="AI124" s="127">
        <f t="shared" si="133"/>
        <v>1</v>
      </c>
      <c r="AJ124" s="127">
        <f t="shared" si="133"/>
        <v>1</v>
      </c>
      <c r="AK124" s="127">
        <f t="shared" si="133"/>
        <v>1</v>
      </c>
      <c r="AL124" s="127">
        <f t="shared" si="133"/>
        <v>1</v>
      </c>
      <c r="AM124" s="127">
        <f t="shared" si="133"/>
        <v>1</v>
      </c>
      <c r="AN124" s="127">
        <f t="shared" si="133"/>
        <v>1</v>
      </c>
      <c r="AO124" s="127">
        <f t="shared" si="133"/>
        <v>1</v>
      </c>
      <c r="AP124" s="127">
        <f t="shared" si="133"/>
        <v>1</v>
      </c>
      <c r="AQ124" s="127">
        <f t="shared" si="133"/>
        <v>1</v>
      </c>
      <c r="AR124" s="127">
        <f t="shared" si="133"/>
        <v>1</v>
      </c>
      <c r="AS124" s="127">
        <f t="shared" si="133"/>
        <v>1</v>
      </c>
      <c r="AT124" s="127">
        <f t="shared" si="133"/>
        <v>1</v>
      </c>
      <c r="AU124" s="127">
        <f t="shared" si="133"/>
        <v>1</v>
      </c>
      <c r="AV124" s="127">
        <f t="shared" si="133"/>
        <v>1</v>
      </c>
    </row>
    <row r="125" spans="1:48">
      <c r="A125" s="4" t="s">
        <v>16</v>
      </c>
      <c r="B125" s="174"/>
      <c r="C125" s="174"/>
      <c r="I125" s="179"/>
      <c r="K125" s="96"/>
    </row>
    <row r="126" spans="1:48" ht="15.75" thickBot="1">
      <c r="A126" s="4" t="s">
        <v>16</v>
      </c>
      <c r="B126" s="174"/>
      <c r="C126" s="93" t="s">
        <v>259</v>
      </c>
      <c r="I126" s="179"/>
      <c r="K126" s="96"/>
    </row>
    <row r="127" spans="1:48">
      <c r="A127" s="4" t="s">
        <v>16</v>
      </c>
      <c r="B127" s="174" t="str">
        <f t="shared" ref="B127:C135" si="134">B116</f>
        <v>CNC</v>
      </c>
      <c r="C127" s="174" t="str">
        <f t="shared" si="134"/>
        <v>Commercial - Cooling</v>
      </c>
      <c r="E127" s="168">
        <f t="shared" ref="E127:E135" si="135">E116+$AX$106</f>
        <v>0.01</v>
      </c>
      <c r="I127" s="179"/>
      <c r="J127" s="183">
        <f t="shared" ref="J127:AV133" si="136">J116*(1-$E127)</f>
        <v>0.99</v>
      </c>
      <c r="K127" s="122">
        <f t="shared" si="136"/>
        <v>0.99</v>
      </c>
      <c r="L127" s="122">
        <f t="shared" si="136"/>
        <v>0.99</v>
      </c>
      <c r="M127" s="122">
        <f t="shared" si="136"/>
        <v>0.99</v>
      </c>
      <c r="N127" s="122">
        <f t="shared" si="136"/>
        <v>0.99</v>
      </c>
      <c r="O127" s="122">
        <f t="shared" si="136"/>
        <v>0.99</v>
      </c>
      <c r="P127" s="122">
        <f t="shared" si="136"/>
        <v>0.99</v>
      </c>
      <c r="Q127" s="122">
        <f t="shared" si="136"/>
        <v>0.99</v>
      </c>
      <c r="R127" s="122">
        <f t="shared" si="136"/>
        <v>0.99</v>
      </c>
      <c r="S127" s="122">
        <f t="shared" si="136"/>
        <v>0.99</v>
      </c>
      <c r="T127" s="122">
        <f t="shared" si="136"/>
        <v>0.99</v>
      </c>
      <c r="U127" s="122">
        <f t="shared" si="136"/>
        <v>0.99</v>
      </c>
      <c r="V127" s="122">
        <f t="shared" si="136"/>
        <v>0.99</v>
      </c>
      <c r="W127" s="122">
        <f t="shared" si="136"/>
        <v>0.99</v>
      </c>
      <c r="X127" s="122">
        <f t="shared" si="136"/>
        <v>0.99</v>
      </c>
      <c r="Y127" s="122">
        <f t="shared" si="136"/>
        <v>0.99</v>
      </c>
      <c r="Z127" s="122">
        <f t="shared" si="136"/>
        <v>0.99</v>
      </c>
      <c r="AA127" s="122">
        <f t="shared" si="136"/>
        <v>0.99</v>
      </c>
      <c r="AB127" s="122">
        <f t="shared" si="136"/>
        <v>0.99</v>
      </c>
      <c r="AC127" s="122">
        <f t="shared" si="136"/>
        <v>0.99</v>
      </c>
      <c r="AD127" s="122">
        <f t="shared" si="136"/>
        <v>0.99</v>
      </c>
      <c r="AE127" s="122">
        <f t="shared" si="136"/>
        <v>0.99</v>
      </c>
      <c r="AF127" s="122">
        <f t="shared" si="136"/>
        <v>0.99</v>
      </c>
      <c r="AG127" s="122">
        <f t="shared" si="136"/>
        <v>0.99</v>
      </c>
      <c r="AH127" s="122">
        <f t="shared" si="136"/>
        <v>0.99</v>
      </c>
      <c r="AI127" s="122">
        <f t="shared" si="136"/>
        <v>0.99</v>
      </c>
      <c r="AJ127" s="122">
        <f t="shared" si="136"/>
        <v>0.99</v>
      </c>
      <c r="AK127" s="122">
        <f t="shared" si="136"/>
        <v>0.99</v>
      </c>
      <c r="AL127" s="122">
        <f t="shared" si="136"/>
        <v>0.99</v>
      </c>
      <c r="AM127" s="122">
        <f t="shared" si="136"/>
        <v>0.99</v>
      </c>
      <c r="AN127" s="122">
        <f t="shared" si="136"/>
        <v>0.99</v>
      </c>
      <c r="AO127" s="122">
        <f t="shared" si="136"/>
        <v>0.99</v>
      </c>
      <c r="AP127" s="122">
        <f t="shared" si="136"/>
        <v>0.99</v>
      </c>
      <c r="AQ127" s="122">
        <f t="shared" si="136"/>
        <v>0.99</v>
      </c>
      <c r="AR127" s="122">
        <f t="shared" si="136"/>
        <v>0.99</v>
      </c>
      <c r="AS127" s="122">
        <f t="shared" si="136"/>
        <v>0.99</v>
      </c>
      <c r="AT127" s="122">
        <f t="shared" si="136"/>
        <v>0.99</v>
      </c>
      <c r="AU127" s="122">
        <f t="shared" si="136"/>
        <v>0.99</v>
      </c>
      <c r="AV127" s="122">
        <f t="shared" si="136"/>
        <v>0.99</v>
      </c>
    </row>
    <row r="128" spans="1:48">
      <c r="A128" s="4" t="s">
        <v>16</v>
      </c>
      <c r="B128" s="174" t="str">
        <f t="shared" si="134"/>
        <v>CNH</v>
      </c>
      <c r="C128" s="174" t="str">
        <f t="shared" si="134"/>
        <v>Commercial - Space Heating</v>
      </c>
      <c r="E128" s="168">
        <f t="shared" si="135"/>
        <v>0.01</v>
      </c>
      <c r="I128" s="179"/>
      <c r="J128" s="183">
        <f t="shared" si="136"/>
        <v>0.99</v>
      </c>
      <c r="K128" s="122">
        <f t="shared" si="136"/>
        <v>0.99</v>
      </c>
      <c r="L128" s="122">
        <f t="shared" si="136"/>
        <v>0.99</v>
      </c>
      <c r="M128" s="122">
        <f t="shared" si="136"/>
        <v>0.99</v>
      </c>
      <c r="N128" s="122">
        <f t="shared" si="136"/>
        <v>0.99</v>
      </c>
      <c r="O128" s="122">
        <f t="shared" si="136"/>
        <v>0.99</v>
      </c>
      <c r="P128" s="122">
        <f t="shared" si="136"/>
        <v>0.99</v>
      </c>
      <c r="Q128" s="122">
        <f t="shared" si="136"/>
        <v>0.99</v>
      </c>
      <c r="R128" s="122">
        <f t="shared" si="136"/>
        <v>0.99</v>
      </c>
      <c r="S128" s="122">
        <f t="shared" si="136"/>
        <v>0.99</v>
      </c>
      <c r="T128" s="122">
        <f t="shared" si="136"/>
        <v>0.99</v>
      </c>
      <c r="U128" s="122">
        <f t="shared" si="136"/>
        <v>0.99</v>
      </c>
      <c r="V128" s="122">
        <f t="shared" si="136"/>
        <v>0.99</v>
      </c>
      <c r="W128" s="122">
        <f t="shared" si="136"/>
        <v>0.99</v>
      </c>
      <c r="X128" s="122">
        <f t="shared" si="136"/>
        <v>0.99</v>
      </c>
      <c r="Y128" s="122">
        <f t="shared" si="136"/>
        <v>0.99</v>
      </c>
      <c r="Z128" s="122">
        <f t="shared" si="136"/>
        <v>0.99</v>
      </c>
      <c r="AA128" s="122">
        <f t="shared" si="136"/>
        <v>0.99</v>
      </c>
      <c r="AB128" s="122">
        <f t="shared" si="136"/>
        <v>0.99</v>
      </c>
      <c r="AC128" s="122">
        <f t="shared" si="136"/>
        <v>0.99</v>
      </c>
      <c r="AD128" s="122">
        <f t="shared" si="136"/>
        <v>0.99</v>
      </c>
      <c r="AE128" s="122">
        <f t="shared" si="136"/>
        <v>0.99</v>
      </c>
      <c r="AF128" s="122">
        <f t="shared" si="136"/>
        <v>0.99</v>
      </c>
      <c r="AG128" s="122">
        <f t="shared" si="136"/>
        <v>0.99</v>
      </c>
      <c r="AH128" s="122">
        <f t="shared" si="136"/>
        <v>0.99</v>
      </c>
      <c r="AI128" s="122">
        <f t="shared" si="136"/>
        <v>0.99</v>
      </c>
      <c r="AJ128" s="122">
        <f t="shared" si="136"/>
        <v>0.99</v>
      </c>
      <c r="AK128" s="122">
        <f t="shared" si="136"/>
        <v>0.99</v>
      </c>
      <c r="AL128" s="122">
        <f t="shared" si="136"/>
        <v>0.99</v>
      </c>
      <c r="AM128" s="122">
        <f t="shared" si="136"/>
        <v>0.99</v>
      </c>
      <c r="AN128" s="122">
        <f t="shared" si="136"/>
        <v>0.99</v>
      </c>
      <c r="AO128" s="122">
        <f t="shared" si="136"/>
        <v>0.99</v>
      </c>
      <c r="AP128" s="122">
        <f t="shared" si="136"/>
        <v>0.99</v>
      </c>
      <c r="AQ128" s="122">
        <f t="shared" si="136"/>
        <v>0.99</v>
      </c>
      <c r="AR128" s="122">
        <f t="shared" si="136"/>
        <v>0.99</v>
      </c>
      <c r="AS128" s="122">
        <f t="shared" si="136"/>
        <v>0.99</v>
      </c>
      <c r="AT128" s="122">
        <f t="shared" si="136"/>
        <v>0.99</v>
      </c>
      <c r="AU128" s="122">
        <f t="shared" si="136"/>
        <v>0.99</v>
      </c>
      <c r="AV128" s="122">
        <f t="shared" si="136"/>
        <v>0.99</v>
      </c>
    </row>
    <row r="129" spans="1:48">
      <c r="A129" s="4" t="s">
        <v>16</v>
      </c>
      <c r="B129" s="174" t="str">
        <f t="shared" si="134"/>
        <v>CNK</v>
      </c>
      <c r="C129" s="174" t="str">
        <f t="shared" si="134"/>
        <v>Commercial - Cooking</v>
      </c>
      <c r="E129" s="168">
        <f t="shared" si="135"/>
        <v>0.01</v>
      </c>
      <c r="I129" s="179"/>
      <c r="J129" s="183">
        <f t="shared" si="136"/>
        <v>0.99</v>
      </c>
      <c r="K129" s="122">
        <f t="shared" si="136"/>
        <v>0.99</v>
      </c>
      <c r="L129" s="122">
        <f t="shared" si="136"/>
        <v>0.99</v>
      </c>
      <c r="M129" s="122">
        <f t="shared" si="136"/>
        <v>0.99</v>
      </c>
      <c r="N129" s="122">
        <f t="shared" si="136"/>
        <v>0.99</v>
      </c>
      <c r="O129" s="122">
        <f t="shared" si="136"/>
        <v>0.99</v>
      </c>
      <c r="P129" s="122">
        <f t="shared" si="136"/>
        <v>0.99</v>
      </c>
      <c r="Q129" s="122">
        <f t="shared" si="136"/>
        <v>0.99</v>
      </c>
      <c r="R129" s="122">
        <f t="shared" si="136"/>
        <v>0.99</v>
      </c>
      <c r="S129" s="122">
        <f t="shared" si="136"/>
        <v>0.99</v>
      </c>
      <c r="T129" s="122">
        <f t="shared" si="136"/>
        <v>0.99</v>
      </c>
      <c r="U129" s="122">
        <f t="shared" si="136"/>
        <v>0.99</v>
      </c>
      <c r="V129" s="122">
        <f t="shared" si="136"/>
        <v>0.99</v>
      </c>
      <c r="W129" s="122">
        <f t="shared" si="136"/>
        <v>0.99</v>
      </c>
      <c r="X129" s="122">
        <f t="shared" si="136"/>
        <v>0.99</v>
      </c>
      <c r="Y129" s="122">
        <f t="shared" si="136"/>
        <v>0.99</v>
      </c>
      <c r="Z129" s="122">
        <f t="shared" si="136"/>
        <v>0.99</v>
      </c>
      <c r="AA129" s="122">
        <f t="shared" si="136"/>
        <v>0.99</v>
      </c>
      <c r="AB129" s="122">
        <f t="shared" si="136"/>
        <v>0.99</v>
      </c>
      <c r="AC129" s="122">
        <f t="shared" si="136"/>
        <v>0.99</v>
      </c>
      <c r="AD129" s="122">
        <f t="shared" si="136"/>
        <v>0.99</v>
      </c>
      <c r="AE129" s="122">
        <f t="shared" si="136"/>
        <v>0.99</v>
      </c>
      <c r="AF129" s="122">
        <f t="shared" si="136"/>
        <v>0.99</v>
      </c>
      <c r="AG129" s="122">
        <f t="shared" si="136"/>
        <v>0.99</v>
      </c>
      <c r="AH129" s="122">
        <f t="shared" si="136"/>
        <v>0.99</v>
      </c>
      <c r="AI129" s="122">
        <f t="shared" si="136"/>
        <v>0.99</v>
      </c>
      <c r="AJ129" s="122">
        <f t="shared" si="136"/>
        <v>0.99</v>
      </c>
      <c r="AK129" s="122">
        <f t="shared" si="136"/>
        <v>0.99</v>
      </c>
      <c r="AL129" s="122">
        <f t="shared" si="136"/>
        <v>0.99</v>
      </c>
      <c r="AM129" s="122">
        <f t="shared" si="136"/>
        <v>0.99</v>
      </c>
      <c r="AN129" s="122">
        <f t="shared" si="136"/>
        <v>0.99</v>
      </c>
      <c r="AO129" s="122">
        <f t="shared" si="136"/>
        <v>0.99</v>
      </c>
      <c r="AP129" s="122">
        <f t="shared" si="136"/>
        <v>0.99</v>
      </c>
      <c r="AQ129" s="122">
        <f t="shared" si="136"/>
        <v>0.99</v>
      </c>
      <c r="AR129" s="122">
        <f t="shared" si="136"/>
        <v>0.99</v>
      </c>
      <c r="AS129" s="122">
        <f t="shared" si="136"/>
        <v>0.99</v>
      </c>
      <c r="AT129" s="122">
        <f t="shared" si="136"/>
        <v>0.99</v>
      </c>
      <c r="AU129" s="122">
        <f t="shared" si="136"/>
        <v>0.99</v>
      </c>
      <c r="AV129" s="122">
        <f t="shared" si="136"/>
        <v>0.99</v>
      </c>
    </row>
    <row r="130" spans="1:48">
      <c r="A130" s="4" t="s">
        <v>16</v>
      </c>
      <c r="B130" s="174" t="str">
        <f t="shared" si="134"/>
        <v>CNL</v>
      </c>
      <c r="C130" s="174" t="str">
        <f t="shared" si="134"/>
        <v>Commercial - Lighting</v>
      </c>
      <c r="E130" s="168">
        <f t="shared" si="135"/>
        <v>0.01</v>
      </c>
      <c r="I130" s="179"/>
      <c r="J130" s="183">
        <f t="shared" si="136"/>
        <v>0.99</v>
      </c>
      <c r="K130" s="122">
        <f t="shared" si="136"/>
        <v>0.99</v>
      </c>
      <c r="L130" s="122">
        <f t="shared" si="136"/>
        <v>0.99</v>
      </c>
      <c r="M130" s="122">
        <f t="shared" si="136"/>
        <v>0.99</v>
      </c>
      <c r="N130" s="122">
        <f t="shared" si="136"/>
        <v>0.99</v>
      </c>
      <c r="O130" s="122">
        <f t="shared" si="136"/>
        <v>0.99</v>
      </c>
      <c r="P130" s="122">
        <f t="shared" si="136"/>
        <v>0.99</v>
      </c>
      <c r="Q130" s="122">
        <f t="shared" si="136"/>
        <v>0.99</v>
      </c>
      <c r="R130" s="122">
        <f t="shared" si="136"/>
        <v>0.99</v>
      </c>
      <c r="S130" s="122">
        <f t="shared" si="136"/>
        <v>0.99</v>
      </c>
      <c r="T130" s="122">
        <f t="shared" si="136"/>
        <v>0.99</v>
      </c>
      <c r="U130" s="122">
        <f t="shared" si="136"/>
        <v>0.99</v>
      </c>
      <c r="V130" s="122">
        <f t="shared" si="136"/>
        <v>0.99</v>
      </c>
      <c r="W130" s="122">
        <f t="shared" si="136"/>
        <v>0.99</v>
      </c>
      <c r="X130" s="122">
        <f t="shared" si="136"/>
        <v>0.99</v>
      </c>
      <c r="Y130" s="122">
        <f t="shared" si="136"/>
        <v>0.99</v>
      </c>
      <c r="Z130" s="122">
        <f t="shared" si="136"/>
        <v>0.99</v>
      </c>
      <c r="AA130" s="122">
        <f t="shared" si="136"/>
        <v>0.99</v>
      </c>
      <c r="AB130" s="122">
        <f t="shared" si="136"/>
        <v>0.99</v>
      </c>
      <c r="AC130" s="122">
        <f t="shared" si="136"/>
        <v>0.99</v>
      </c>
      <c r="AD130" s="122">
        <f t="shared" si="136"/>
        <v>0.99</v>
      </c>
      <c r="AE130" s="122">
        <f t="shared" si="136"/>
        <v>0.99</v>
      </c>
      <c r="AF130" s="122">
        <f t="shared" si="136"/>
        <v>0.99</v>
      </c>
      <c r="AG130" s="122">
        <f t="shared" si="136"/>
        <v>0.99</v>
      </c>
      <c r="AH130" s="122">
        <f t="shared" si="136"/>
        <v>0.99</v>
      </c>
      <c r="AI130" s="122">
        <f t="shared" si="136"/>
        <v>0.99</v>
      </c>
      <c r="AJ130" s="122">
        <f t="shared" si="136"/>
        <v>0.99</v>
      </c>
      <c r="AK130" s="122">
        <f t="shared" si="136"/>
        <v>0.99</v>
      </c>
      <c r="AL130" s="122">
        <f t="shared" si="136"/>
        <v>0.99</v>
      </c>
      <c r="AM130" s="122">
        <f t="shared" si="136"/>
        <v>0.99</v>
      </c>
      <c r="AN130" s="122">
        <f t="shared" si="136"/>
        <v>0.99</v>
      </c>
      <c r="AO130" s="122">
        <f t="shared" si="136"/>
        <v>0.99</v>
      </c>
      <c r="AP130" s="122">
        <f t="shared" si="136"/>
        <v>0.99</v>
      </c>
      <c r="AQ130" s="122">
        <f t="shared" si="136"/>
        <v>0.99</v>
      </c>
      <c r="AR130" s="122">
        <f t="shared" si="136"/>
        <v>0.99</v>
      </c>
      <c r="AS130" s="122">
        <f t="shared" si="136"/>
        <v>0.99</v>
      </c>
      <c r="AT130" s="122">
        <f t="shared" si="136"/>
        <v>0.99</v>
      </c>
      <c r="AU130" s="122">
        <f t="shared" si="136"/>
        <v>0.99</v>
      </c>
      <c r="AV130" s="122">
        <f t="shared" si="136"/>
        <v>0.99</v>
      </c>
    </row>
    <row r="131" spans="1:48">
      <c r="A131" s="4" t="s">
        <v>16</v>
      </c>
      <c r="B131" s="174" t="str">
        <f t="shared" si="134"/>
        <v>CNR</v>
      </c>
      <c r="C131" s="174" t="str">
        <f t="shared" si="134"/>
        <v>Commercial - Refrigeration</v>
      </c>
      <c r="E131" s="168">
        <f t="shared" si="135"/>
        <v>0.01</v>
      </c>
      <c r="H131" s="174"/>
      <c r="I131" s="179"/>
      <c r="J131" s="183">
        <f t="shared" si="136"/>
        <v>0.99</v>
      </c>
      <c r="K131" s="122">
        <f t="shared" si="136"/>
        <v>0.99</v>
      </c>
      <c r="L131" s="122">
        <f t="shared" si="136"/>
        <v>0.99</v>
      </c>
      <c r="M131" s="122">
        <f t="shared" si="136"/>
        <v>0.99</v>
      </c>
      <c r="N131" s="122">
        <f>N120*(1-$E131)</f>
        <v>0.99</v>
      </c>
      <c r="O131" s="122">
        <f t="shared" si="136"/>
        <v>0.99</v>
      </c>
      <c r="P131" s="122">
        <f t="shared" si="136"/>
        <v>0.99</v>
      </c>
      <c r="Q131" s="122">
        <f t="shared" si="136"/>
        <v>0.99</v>
      </c>
      <c r="R131" s="122">
        <f t="shared" si="136"/>
        <v>0.99</v>
      </c>
      <c r="S131" s="122">
        <f t="shared" si="136"/>
        <v>0.99</v>
      </c>
      <c r="T131" s="122">
        <f t="shared" si="136"/>
        <v>0.99</v>
      </c>
      <c r="U131" s="122">
        <f t="shared" si="136"/>
        <v>0.99</v>
      </c>
      <c r="V131" s="122">
        <f t="shared" si="136"/>
        <v>0.99</v>
      </c>
      <c r="W131" s="122">
        <f t="shared" si="136"/>
        <v>0.99</v>
      </c>
      <c r="X131" s="122">
        <f t="shared" si="136"/>
        <v>0.99</v>
      </c>
      <c r="Y131" s="122">
        <f t="shared" si="136"/>
        <v>0.99</v>
      </c>
      <c r="Z131" s="122">
        <f t="shared" si="136"/>
        <v>0.99</v>
      </c>
      <c r="AA131" s="122">
        <f t="shared" si="136"/>
        <v>0.99</v>
      </c>
      <c r="AB131" s="122">
        <f t="shared" si="136"/>
        <v>0.99</v>
      </c>
      <c r="AC131" s="122">
        <f t="shared" si="136"/>
        <v>0.99</v>
      </c>
      <c r="AD131" s="122">
        <f t="shared" si="136"/>
        <v>0.99</v>
      </c>
      <c r="AE131" s="122">
        <f t="shared" si="136"/>
        <v>0.99</v>
      </c>
      <c r="AF131" s="122">
        <f t="shared" si="136"/>
        <v>0.99</v>
      </c>
      <c r="AG131" s="122">
        <f t="shared" si="136"/>
        <v>0.99</v>
      </c>
      <c r="AH131" s="122">
        <f t="shared" si="136"/>
        <v>0.99</v>
      </c>
      <c r="AI131" s="122">
        <f t="shared" si="136"/>
        <v>0.99</v>
      </c>
      <c r="AJ131" s="122">
        <f t="shared" si="136"/>
        <v>0.99</v>
      </c>
      <c r="AK131" s="122">
        <f t="shared" si="136"/>
        <v>0.99</v>
      </c>
      <c r="AL131" s="122">
        <f t="shared" si="136"/>
        <v>0.99</v>
      </c>
      <c r="AM131" s="122">
        <f t="shared" si="136"/>
        <v>0.99</v>
      </c>
      <c r="AN131" s="122">
        <f t="shared" si="136"/>
        <v>0.99</v>
      </c>
      <c r="AO131" s="122">
        <f t="shared" si="136"/>
        <v>0.99</v>
      </c>
      <c r="AP131" s="122">
        <f t="shared" si="136"/>
        <v>0.99</v>
      </c>
      <c r="AQ131" s="122">
        <f t="shared" si="136"/>
        <v>0.99</v>
      </c>
      <c r="AR131" s="122">
        <f t="shared" si="136"/>
        <v>0.99</v>
      </c>
      <c r="AS131" s="122">
        <f t="shared" si="136"/>
        <v>0.99</v>
      </c>
      <c r="AT131" s="122">
        <f t="shared" si="136"/>
        <v>0.99</v>
      </c>
      <c r="AU131" s="122">
        <f t="shared" si="136"/>
        <v>0.99</v>
      </c>
      <c r="AV131" s="122">
        <f t="shared" si="136"/>
        <v>0.99</v>
      </c>
    </row>
    <row r="132" spans="1:48">
      <c r="A132" s="4" t="s">
        <v>16</v>
      </c>
      <c r="B132" s="174" t="str">
        <f t="shared" si="134"/>
        <v>CNW</v>
      </c>
      <c r="C132" s="174" t="str">
        <f t="shared" si="134"/>
        <v>Commercial - Water Heating</v>
      </c>
      <c r="E132" s="168">
        <f t="shared" si="135"/>
        <v>0.01</v>
      </c>
      <c r="I132" s="179"/>
      <c r="J132" s="183">
        <f t="shared" si="136"/>
        <v>0.99</v>
      </c>
      <c r="K132" s="122">
        <f t="shared" si="136"/>
        <v>0.99</v>
      </c>
      <c r="L132" s="122">
        <f t="shared" si="136"/>
        <v>0.99</v>
      </c>
      <c r="M132" s="122">
        <f t="shared" si="136"/>
        <v>0.99</v>
      </c>
      <c r="N132" s="122">
        <f t="shared" si="136"/>
        <v>0.99</v>
      </c>
      <c r="O132" s="122">
        <f t="shared" si="136"/>
        <v>0.99</v>
      </c>
      <c r="P132" s="122">
        <f t="shared" si="136"/>
        <v>0.99</v>
      </c>
      <c r="Q132" s="122">
        <f t="shared" si="136"/>
        <v>0.99</v>
      </c>
      <c r="R132" s="122">
        <f t="shared" si="136"/>
        <v>0.99</v>
      </c>
      <c r="S132" s="122">
        <f t="shared" si="136"/>
        <v>0.99</v>
      </c>
      <c r="T132" s="122">
        <f t="shared" si="136"/>
        <v>0.99</v>
      </c>
      <c r="U132" s="122">
        <f t="shared" si="136"/>
        <v>0.99</v>
      </c>
      <c r="V132" s="122">
        <f t="shared" si="136"/>
        <v>0.99</v>
      </c>
      <c r="W132" s="122">
        <f t="shared" si="136"/>
        <v>0.99</v>
      </c>
      <c r="X132" s="122">
        <f t="shared" si="136"/>
        <v>0.99</v>
      </c>
      <c r="Y132" s="122">
        <f t="shared" si="136"/>
        <v>0.99</v>
      </c>
      <c r="Z132" s="122">
        <f t="shared" si="136"/>
        <v>0.99</v>
      </c>
      <c r="AA132" s="122">
        <f t="shared" si="136"/>
        <v>0.99</v>
      </c>
      <c r="AB132" s="122">
        <f t="shared" si="136"/>
        <v>0.99</v>
      </c>
      <c r="AC132" s="122">
        <f t="shared" si="136"/>
        <v>0.99</v>
      </c>
      <c r="AD132" s="122">
        <f t="shared" si="136"/>
        <v>0.99</v>
      </c>
      <c r="AE132" s="122">
        <f t="shared" si="136"/>
        <v>0.99</v>
      </c>
      <c r="AF132" s="122">
        <f t="shared" si="136"/>
        <v>0.99</v>
      </c>
      <c r="AG132" s="122">
        <f t="shared" si="136"/>
        <v>0.99</v>
      </c>
      <c r="AH132" s="122">
        <f t="shared" si="136"/>
        <v>0.99</v>
      </c>
      <c r="AI132" s="122">
        <f t="shared" si="136"/>
        <v>0.99</v>
      </c>
      <c r="AJ132" s="122">
        <f t="shared" si="136"/>
        <v>0.99</v>
      </c>
      <c r="AK132" s="122">
        <f t="shared" si="136"/>
        <v>0.99</v>
      </c>
      <c r="AL132" s="122">
        <f t="shared" si="136"/>
        <v>0.99</v>
      </c>
      <c r="AM132" s="122">
        <f t="shared" si="136"/>
        <v>0.99</v>
      </c>
      <c r="AN132" s="122">
        <f t="shared" si="136"/>
        <v>0.99</v>
      </c>
      <c r="AO132" s="122">
        <f t="shared" si="136"/>
        <v>0.99</v>
      </c>
      <c r="AP132" s="122">
        <f t="shared" si="136"/>
        <v>0.99</v>
      </c>
      <c r="AQ132" s="122">
        <f t="shared" si="136"/>
        <v>0.99</v>
      </c>
      <c r="AR132" s="122">
        <f t="shared" si="136"/>
        <v>0.99</v>
      </c>
      <c r="AS132" s="122">
        <f t="shared" si="136"/>
        <v>0.99</v>
      </c>
      <c r="AT132" s="122">
        <f t="shared" si="136"/>
        <v>0.99</v>
      </c>
      <c r="AU132" s="122">
        <f t="shared" si="136"/>
        <v>0.99</v>
      </c>
      <c r="AV132" s="122">
        <f t="shared" si="136"/>
        <v>0.99</v>
      </c>
    </row>
    <row r="133" spans="1:48">
      <c r="A133" s="4" t="s">
        <v>16</v>
      </c>
      <c r="B133" s="174" t="str">
        <f t="shared" si="134"/>
        <v>CNG</v>
      </c>
      <c r="C133" s="174" t="str">
        <f t="shared" si="134"/>
        <v>Commercial - Public lights</v>
      </c>
      <c r="E133" s="168">
        <f t="shared" si="135"/>
        <v>0.01</v>
      </c>
      <c r="I133" s="179"/>
      <c r="J133" s="183">
        <f t="shared" si="136"/>
        <v>0.99</v>
      </c>
      <c r="K133" s="122">
        <f t="shared" si="136"/>
        <v>0.99</v>
      </c>
      <c r="L133" s="122">
        <f t="shared" si="136"/>
        <v>0.99</v>
      </c>
      <c r="M133" s="122">
        <f t="shared" si="136"/>
        <v>0.99</v>
      </c>
      <c r="N133" s="122">
        <f t="shared" si="136"/>
        <v>0.99</v>
      </c>
      <c r="O133" s="122">
        <f t="shared" si="136"/>
        <v>0.99</v>
      </c>
      <c r="P133" s="122">
        <f t="shared" si="136"/>
        <v>0.99</v>
      </c>
      <c r="Q133" s="122">
        <f t="shared" si="136"/>
        <v>0.99</v>
      </c>
      <c r="R133" s="122">
        <f t="shared" si="136"/>
        <v>0.99</v>
      </c>
      <c r="S133" s="122">
        <f t="shared" si="136"/>
        <v>0.99</v>
      </c>
      <c r="T133" s="122">
        <f t="shared" si="136"/>
        <v>0.99</v>
      </c>
      <c r="U133" s="122">
        <f t="shared" si="136"/>
        <v>0.99</v>
      </c>
      <c r="V133" s="122">
        <f t="shared" si="136"/>
        <v>0.99</v>
      </c>
      <c r="W133" s="122">
        <f t="shared" si="136"/>
        <v>0.99</v>
      </c>
      <c r="X133" s="122">
        <f t="shared" si="136"/>
        <v>0.99</v>
      </c>
      <c r="Y133" s="122">
        <f t="shared" si="136"/>
        <v>0.99</v>
      </c>
      <c r="Z133" s="122">
        <f t="shared" si="136"/>
        <v>0.99</v>
      </c>
      <c r="AA133" s="122">
        <f t="shared" si="136"/>
        <v>0.99</v>
      </c>
      <c r="AB133" s="122">
        <f t="shared" si="136"/>
        <v>0.99</v>
      </c>
      <c r="AC133" s="122">
        <f t="shared" si="136"/>
        <v>0.99</v>
      </c>
      <c r="AD133" s="122">
        <f t="shared" si="136"/>
        <v>0.99</v>
      </c>
      <c r="AE133" s="122">
        <f t="shared" ref="AE133:AV135" si="137">AE122*(1-$E133)</f>
        <v>0.99</v>
      </c>
      <c r="AF133" s="122">
        <f t="shared" si="137"/>
        <v>0.99</v>
      </c>
      <c r="AG133" s="122">
        <f t="shared" si="137"/>
        <v>0.99</v>
      </c>
      <c r="AH133" s="122">
        <f t="shared" si="137"/>
        <v>0.99</v>
      </c>
      <c r="AI133" s="122">
        <f t="shared" si="137"/>
        <v>0.99</v>
      </c>
      <c r="AJ133" s="122">
        <f t="shared" si="137"/>
        <v>0.99</v>
      </c>
      <c r="AK133" s="122">
        <f t="shared" si="137"/>
        <v>0.99</v>
      </c>
      <c r="AL133" s="122">
        <f t="shared" si="137"/>
        <v>0.99</v>
      </c>
      <c r="AM133" s="122">
        <f t="shared" si="137"/>
        <v>0.99</v>
      </c>
      <c r="AN133" s="122">
        <f t="shared" si="137"/>
        <v>0.99</v>
      </c>
      <c r="AO133" s="122">
        <f t="shared" si="137"/>
        <v>0.99</v>
      </c>
      <c r="AP133" s="122">
        <f t="shared" si="137"/>
        <v>0.99</v>
      </c>
      <c r="AQ133" s="122">
        <f t="shared" si="137"/>
        <v>0.99</v>
      </c>
      <c r="AR133" s="122">
        <f t="shared" si="137"/>
        <v>0.99</v>
      </c>
      <c r="AS133" s="122">
        <f t="shared" si="137"/>
        <v>0.99</v>
      </c>
      <c r="AT133" s="122">
        <f t="shared" si="137"/>
        <v>0.99</v>
      </c>
      <c r="AU133" s="122">
        <f t="shared" si="137"/>
        <v>0.99</v>
      </c>
      <c r="AV133" s="122">
        <f t="shared" si="137"/>
        <v>0.99</v>
      </c>
    </row>
    <row r="134" spans="1:48">
      <c r="A134" s="4" t="s">
        <v>16</v>
      </c>
      <c r="B134" s="174" t="str">
        <f t="shared" si="134"/>
        <v>CNT</v>
      </c>
      <c r="C134" s="174" t="str">
        <f t="shared" si="134"/>
        <v>Commercial - Public Water</v>
      </c>
      <c r="E134" s="168">
        <f t="shared" si="135"/>
        <v>0.01</v>
      </c>
      <c r="I134" s="179"/>
      <c r="J134" s="183">
        <f t="shared" ref="J134:AV135" si="138">J123*(1-$E134)</f>
        <v>0.99</v>
      </c>
      <c r="K134" s="122">
        <f t="shared" si="138"/>
        <v>0.99</v>
      </c>
      <c r="L134" s="122">
        <f t="shared" si="138"/>
        <v>0.99</v>
      </c>
      <c r="M134" s="122">
        <f t="shared" si="138"/>
        <v>0.99</v>
      </c>
      <c r="N134" s="122">
        <f t="shared" si="138"/>
        <v>0.99</v>
      </c>
      <c r="O134" s="122">
        <f t="shared" si="138"/>
        <v>0.99</v>
      </c>
      <c r="P134" s="122">
        <f t="shared" si="138"/>
        <v>0.99</v>
      </c>
      <c r="Q134" s="122">
        <f t="shared" si="138"/>
        <v>0.99</v>
      </c>
      <c r="R134" s="122">
        <f t="shared" si="138"/>
        <v>0.99</v>
      </c>
      <c r="S134" s="122">
        <f t="shared" si="138"/>
        <v>0.99</v>
      </c>
      <c r="T134" s="122">
        <f t="shared" si="138"/>
        <v>0.99</v>
      </c>
      <c r="U134" s="122">
        <f t="shared" si="138"/>
        <v>0.99</v>
      </c>
      <c r="V134" s="122">
        <f t="shared" si="138"/>
        <v>0.99</v>
      </c>
      <c r="W134" s="122">
        <f t="shared" si="138"/>
        <v>0.99</v>
      </c>
      <c r="X134" s="122">
        <f t="shared" si="138"/>
        <v>0.99</v>
      </c>
      <c r="Y134" s="122">
        <f t="shared" si="138"/>
        <v>0.99</v>
      </c>
      <c r="Z134" s="122">
        <f t="shared" si="138"/>
        <v>0.99</v>
      </c>
      <c r="AA134" s="122">
        <f t="shared" si="138"/>
        <v>0.99</v>
      </c>
      <c r="AB134" s="122">
        <f t="shared" si="138"/>
        <v>0.99</v>
      </c>
      <c r="AC134" s="122">
        <f t="shared" si="138"/>
        <v>0.99</v>
      </c>
      <c r="AD134" s="122">
        <f t="shared" si="138"/>
        <v>0.99</v>
      </c>
      <c r="AE134" s="122">
        <f t="shared" si="138"/>
        <v>0.99</v>
      </c>
      <c r="AF134" s="122">
        <f t="shared" si="138"/>
        <v>0.99</v>
      </c>
      <c r="AG134" s="122">
        <f t="shared" si="138"/>
        <v>0.99</v>
      </c>
      <c r="AH134" s="122">
        <f t="shared" si="138"/>
        <v>0.99</v>
      </c>
      <c r="AI134" s="122">
        <f t="shared" si="137"/>
        <v>0.99</v>
      </c>
      <c r="AJ134" s="122">
        <f t="shared" si="137"/>
        <v>0.99</v>
      </c>
      <c r="AK134" s="122">
        <f t="shared" si="137"/>
        <v>0.99</v>
      </c>
      <c r="AL134" s="122">
        <f t="shared" si="137"/>
        <v>0.99</v>
      </c>
      <c r="AM134" s="122">
        <f t="shared" si="137"/>
        <v>0.99</v>
      </c>
      <c r="AN134" s="122">
        <f t="shared" si="137"/>
        <v>0.99</v>
      </c>
      <c r="AO134" s="122">
        <f t="shared" si="137"/>
        <v>0.99</v>
      </c>
      <c r="AP134" s="122">
        <f t="shared" si="137"/>
        <v>0.99</v>
      </c>
      <c r="AQ134" s="122">
        <f t="shared" si="137"/>
        <v>0.99</v>
      </c>
      <c r="AR134" s="122">
        <f t="shared" si="137"/>
        <v>0.99</v>
      </c>
      <c r="AS134" s="122">
        <f t="shared" si="138"/>
        <v>0.99</v>
      </c>
      <c r="AT134" s="122">
        <f t="shared" si="138"/>
        <v>0.99</v>
      </c>
      <c r="AU134" s="122">
        <f t="shared" si="138"/>
        <v>0.99</v>
      </c>
      <c r="AV134" s="122">
        <f t="shared" si="138"/>
        <v>0.99</v>
      </c>
    </row>
    <row r="135" spans="1:48">
      <c r="A135" s="4" t="s">
        <v>16</v>
      </c>
      <c r="B135" s="174" t="str">
        <f t="shared" si="134"/>
        <v>CNO</v>
      </c>
      <c r="C135" s="174" t="str">
        <f t="shared" si="134"/>
        <v>Commercial - Other</v>
      </c>
      <c r="E135" s="168">
        <f t="shared" si="135"/>
        <v>0.01</v>
      </c>
      <c r="I135" s="179"/>
      <c r="J135" s="183">
        <f t="shared" si="138"/>
        <v>0.99</v>
      </c>
      <c r="K135" s="122">
        <f t="shared" si="138"/>
        <v>0.99</v>
      </c>
      <c r="L135" s="122">
        <f t="shared" si="138"/>
        <v>0.99</v>
      </c>
      <c r="M135" s="122">
        <f t="shared" si="138"/>
        <v>0.99</v>
      </c>
      <c r="N135" s="122">
        <f t="shared" si="138"/>
        <v>0.99</v>
      </c>
      <c r="O135" s="122">
        <f t="shared" si="138"/>
        <v>0.99</v>
      </c>
      <c r="P135" s="122">
        <f t="shared" si="138"/>
        <v>0.99</v>
      </c>
      <c r="Q135" s="122">
        <f t="shared" si="138"/>
        <v>0.99</v>
      </c>
      <c r="R135" s="122">
        <f t="shared" si="138"/>
        <v>0.99</v>
      </c>
      <c r="S135" s="122">
        <f t="shared" si="138"/>
        <v>0.99</v>
      </c>
      <c r="T135" s="122">
        <f t="shared" si="138"/>
        <v>0.99</v>
      </c>
      <c r="U135" s="122">
        <f t="shared" si="138"/>
        <v>0.99</v>
      </c>
      <c r="V135" s="122">
        <f t="shared" si="138"/>
        <v>0.99</v>
      </c>
      <c r="W135" s="122">
        <f t="shared" si="138"/>
        <v>0.99</v>
      </c>
      <c r="X135" s="122">
        <f t="shared" si="138"/>
        <v>0.99</v>
      </c>
      <c r="Y135" s="122">
        <f t="shared" si="138"/>
        <v>0.99</v>
      </c>
      <c r="Z135" s="122">
        <f t="shared" si="138"/>
        <v>0.99</v>
      </c>
      <c r="AA135" s="122">
        <f t="shared" si="138"/>
        <v>0.99</v>
      </c>
      <c r="AB135" s="122">
        <f t="shared" si="138"/>
        <v>0.99</v>
      </c>
      <c r="AC135" s="122">
        <f t="shared" si="138"/>
        <v>0.99</v>
      </c>
      <c r="AD135" s="122">
        <f t="shared" si="138"/>
        <v>0.99</v>
      </c>
      <c r="AE135" s="122">
        <f t="shared" si="138"/>
        <v>0.99</v>
      </c>
      <c r="AF135" s="122">
        <f t="shared" si="138"/>
        <v>0.99</v>
      </c>
      <c r="AG135" s="122">
        <f t="shared" si="138"/>
        <v>0.99</v>
      </c>
      <c r="AH135" s="122">
        <f t="shared" si="138"/>
        <v>0.99</v>
      </c>
      <c r="AI135" s="122">
        <f t="shared" si="137"/>
        <v>0.99</v>
      </c>
      <c r="AJ135" s="122">
        <f t="shared" si="137"/>
        <v>0.99</v>
      </c>
      <c r="AK135" s="122">
        <f t="shared" si="137"/>
        <v>0.99</v>
      </c>
      <c r="AL135" s="122">
        <f t="shared" si="137"/>
        <v>0.99</v>
      </c>
      <c r="AM135" s="122">
        <f t="shared" si="137"/>
        <v>0.99</v>
      </c>
      <c r="AN135" s="122">
        <f t="shared" si="137"/>
        <v>0.99</v>
      </c>
      <c r="AO135" s="122">
        <f t="shared" si="137"/>
        <v>0.99</v>
      </c>
      <c r="AP135" s="122">
        <f t="shared" si="137"/>
        <v>0.99</v>
      </c>
      <c r="AQ135" s="122">
        <f t="shared" si="137"/>
        <v>0.99</v>
      </c>
      <c r="AR135" s="122">
        <f t="shared" si="137"/>
        <v>0.99</v>
      </c>
      <c r="AS135" s="122">
        <f t="shared" si="138"/>
        <v>0.99</v>
      </c>
      <c r="AT135" s="122">
        <f t="shared" si="138"/>
        <v>0.99</v>
      </c>
      <c r="AU135" s="122">
        <f t="shared" si="138"/>
        <v>0.99</v>
      </c>
      <c r="AV135" s="122">
        <f t="shared" si="138"/>
        <v>0.99</v>
      </c>
    </row>
    <row r="136" spans="1:48">
      <c r="A136" s="4" t="s">
        <v>16</v>
      </c>
      <c r="B136" s="174"/>
      <c r="C136" s="174"/>
      <c r="I136" s="179"/>
      <c r="K136" s="96"/>
    </row>
    <row r="137" spans="1:48" ht="15.75" thickBot="1">
      <c r="A137" s="4" t="s">
        <v>16</v>
      </c>
      <c r="B137" s="174"/>
      <c r="C137" s="93" t="s">
        <v>260</v>
      </c>
      <c r="I137" s="179"/>
      <c r="K137" s="96"/>
    </row>
    <row r="138" spans="1:48">
      <c r="A138" s="4" t="s">
        <v>16</v>
      </c>
      <c r="B138" s="174" t="str">
        <f t="shared" ref="B138:C146" si="139">B127</f>
        <v>CNC</v>
      </c>
      <c r="C138" s="174" t="str">
        <f t="shared" si="139"/>
        <v>Commercial - Cooling</v>
      </c>
      <c r="E138" s="168">
        <f t="shared" ref="E138:E146" si="140">E127+$AX$106</f>
        <v>0.02</v>
      </c>
      <c r="I138" s="179"/>
      <c r="J138" s="183">
        <f t="shared" ref="J138:AV144" si="141">J127*(1-$E138)</f>
        <v>0.97019999999999995</v>
      </c>
      <c r="K138" s="122">
        <f t="shared" si="141"/>
        <v>0.97019999999999995</v>
      </c>
      <c r="L138" s="122">
        <f t="shared" si="141"/>
        <v>0.97019999999999995</v>
      </c>
      <c r="M138" s="122">
        <f t="shared" si="141"/>
        <v>0.97019999999999995</v>
      </c>
      <c r="N138" s="122">
        <f t="shared" si="141"/>
        <v>0.97019999999999995</v>
      </c>
      <c r="O138" s="122">
        <f t="shared" si="141"/>
        <v>0.97019999999999995</v>
      </c>
      <c r="P138" s="122">
        <f t="shared" si="141"/>
        <v>0.97019999999999995</v>
      </c>
      <c r="Q138" s="122">
        <f t="shared" si="141"/>
        <v>0.97019999999999995</v>
      </c>
      <c r="R138" s="122">
        <f t="shared" si="141"/>
        <v>0.97019999999999995</v>
      </c>
      <c r="S138" s="122">
        <f t="shared" si="141"/>
        <v>0.97019999999999995</v>
      </c>
      <c r="T138" s="122">
        <f t="shared" si="141"/>
        <v>0.97019999999999995</v>
      </c>
      <c r="U138" s="122">
        <f t="shared" si="141"/>
        <v>0.97019999999999995</v>
      </c>
      <c r="V138" s="122">
        <f t="shared" si="141"/>
        <v>0.97019999999999995</v>
      </c>
      <c r="W138" s="122">
        <f t="shared" si="141"/>
        <v>0.97019999999999995</v>
      </c>
      <c r="X138" s="122">
        <f t="shared" si="141"/>
        <v>0.97019999999999995</v>
      </c>
      <c r="Y138" s="122">
        <f t="shared" si="141"/>
        <v>0.97019999999999995</v>
      </c>
      <c r="Z138" s="122">
        <f t="shared" si="141"/>
        <v>0.97019999999999995</v>
      </c>
      <c r="AA138" s="122">
        <f t="shared" si="141"/>
        <v>0.97019999999999995</v>
      </c>
      <c r="AB138" s="122">
        <f t="shared" si="141"/>
        <v>0.97019999999999995</v>
      </c>
      <c r="AC138" s="122">
        <f t="shared" si="141"/>
        <v>0.97019999999999995</v>
      </c>
      <c r="AD138" s="122">
        <f t="shared" si="141"/>
        <v>0.97019999999999995</v>
      </c>
      <c r="AE138" s="122">
        <f t="shared" si="141"/>
        <v>0.97019999999999995</v>
      </c>
      <c r="AF138" s="122">
        <f t="shared" si="141"/>
        <v>0.97019999999999995</v>
      </c>
      <c r="AG138" s="122">
        <f t="shared" si="141"/>
        <v>0.97019999999999995</v>
      </c>
      <c r="AH138" s="122">
        <f t="shared" si="141"/>
        <v>0.97019999999999995</v>
      </c>
      <c r="AI138" s="122">
        <f t="shared" si="141"/>
        <v>0.97019999999999995</v>
      </c>
      <c r="AJ138" s="122">
        <f t="shared" si="141"/>
        <v>0.97019999999999995</v>
      </c>
      <c r="AK138" s="122">
        <f t="shared" si="141"/>
        <v>0.97019999999999995</v>
      </c>
      <c r="AL138" s="122">
        <f t="shared" si="141"/>
        <v>0.97019999999999995</v>
      </c>
      <c r="AM138" s="122">
        <f t="shared" si="141"/>
        <v>0.97019999999999995</v>
      </c>
      <c r="AN138" s="122">
        <f t="shared" si="141"/>
        <v>0.97019999999999995</v>
      </c>
      <c r="AO138" s="122">
        <f t="shared" si="141"/>
        <v>0.97019999999999995</v>
      </c>
      <c r="AP138" s="122">
        <f t="shared" si="141"/>
        <v>0.97019999999999995</v>
      </c>
      <c r="AQ138" s="122">
        <f t="shared" si="141"/>
        <v>0.97019999999999995</v>
      </c>
      <c r="AR138" s="122">
        <f t="shared" si="141"/>
        <v>0.97019999999999995</v>
      </c>
      <c r="AS138" s="122">
        <f t="shared" si="141"/>
        <v>0.97019999999999995</v>
      </c>
      <c r="AT138" s="122">
        <f t="shared" si="141"/>
        <v>0.97019999999999995</v>
      </c>
      <c r="AU138" s="122">
        <f t="shared" si="141"/>
        <v>0.97019999999999995</v>
      </c>
      <c r="AV138" s="122">
        <f t="shared" si="141"/>
        <v>0.97019999999999995</v>
      </c>
    </row>
    <row r="139" spans="1:48">
      <c r="A139" s="4" t="s">
        <v>16</v>
      </c>
      <c r="B139" s="174" t="str">
        <f t="shared" si="139"/>
        <v>CNH</v>
      </c>
      <c r="C139" s="174" t="str">
        <f t="shared" si="139"/>
        <v>Commercial - Space Heating</v>
      </c>
      <c r="E139" s="168">
        <f t="shared" si="140"/>
        <v>0.02</v>
      </c>
      <c r="I139" s="179"/>
      <c r="J139" s="183">
        <f t="shared" si="141"/>
        <v>0.97019999999999995</v>
      </c>
      <c r="K139" s="122">
        <f t="shared" si="141"/>
        <v>0.97019999999999995</v>
      </c>
      <c r="L139" s="122">
        <f t="shared" si="141"/>
        <v>0.97019999999999995</v>
      </c>
      <c r="M139" s="122">
        <f t="shared" si="141"/>
        <v>0.97019999999999995</v>
      </c>
      <c r="N139" s="122">
        <f t="shared" si="141"/>
        <v>0.97019999999999995</v>
      </c>
      <c r="O139" s="122">
        <f t="shared" si="141"/>
        <v>0.97019999999999995</v>
      </c>
      <c r="P139" s="122">
        <f t="shared" si="141"/>
        <v>0.97019999999999995</v>
      </c>
      <c r="Q139" s="122">
        <f t="shared" si="141"/>
        <v>0.97019999999999995</v>
      </c>
      <c r="R139" s="122">
        <f t="shared" si="141"/>
        <v>0.97019999999999995</v>
      </c>
      <c r="S139" s="122">
        <f t="shared" si="141"/>
        <v>0.97019999999999995</v>
      </c>
      <c r="T139" s="122">
        <f t="shared" si="141"/>
        <v>0.97019999999999995</v>
      </c>
      <c r="U139" s="122">
        <f t="shared" si="141"/>
        <v>0.97019999999999995</v>
      </c>
      <c r="V139" s="122">
        <f t="shared" si="141"/>
        <v>0.97019999999999995</v>
      </c>
      <c r="W139" s="122">
        <f t="shared" si="141"/>
        <v>0.97019999999999995</v>
      </c>
      <c r="X139" s="122">
        <f t="shared" si="141"/>
        <v>0.97019999999999995</v>
      </c>
      <c r="Y139" s="122">
        <f t="shared" si="141"/>
        <v>0.97019999999999995</v>
      </c>
      <c r="Z139" s="122">
        <f t="shared" si="141"/>
        <v>0.97019999999999995</v>
      </c>
      <c r="AA139" s="122">
        <f t="shared" si="141"/>
        <v>0.97019999999999995</v>
      </c>
      <c r="AB139" s="122">
        <f t="shared" si="141"/>
        <v>0.97019999999999995</v>
      </c>
      <c r="AC139" s="122">
        <f t="shared" si="141"/>
        <v>0.97019999999999995</v>
      </c>
      <c r="AD139" s="122">
        <f t="shared" si="141"/>
        <v>0.97019999999999995</v>
      </c>
      <c r="AE139" s="122">
        <f t="shared" si="141"/>
        <v>0.97019999999999995</v>
      </c>
      <c r="AF139" s="122">
        <f t="shared" si="141"/>
        <v>0.97019999999999995</v>
      </c>
      <c r="AG139" s="122">
        <f t="shared" si="141"/>
        <v>0.97019999999999995</v>
      </c>
      <c r="AH139" s="122">
        <f t="shared" si="141"/>
        <v>0.97019999999999995</v>
      </c>
      <c r="AI139" s="122">
        <f t="shared" si="141"/>
        <v>0.97019999999999995</v>
      </c>
      <c r="AJ139" s="122">
        <f t="shared" si="141"/>
        <v>0.97019999999999995</v>
      </c>
      <c r="AK139" s="122">
        <f t="shared" si="141"/>
        <v>0.97019999999999995</v>
      </c>
      <c r="AL139" s="122">
        <f t="shared" si="141"/>
        <v>0.97019999999999995</v>
      </c>
      <c r="AM139" s="122">
        <f t="shared" si="141"/>
        <v>0.97019999999999995</v>
      </c>
      <c r="AN139" s="122">
        <f t="shared" si="141"/>
        <v>0.97019999999999995</v>
      </c>
      <c r="AO139" s="122">
        <f t="shared" si="141"/>
        <v>0.97019999999999995</v>
      </c>
      <c r="AP139" s="122">
        <f t="shared" si="141"/>
        <v>0.97019999999999995</v>
      </c>
      <c r="AQ139" s="122">
        <f t="shared" si="141"/>
        <v>0.97019999999999995</v>
      </c>
      <c r="AR139" s="122">
        <f t="shared" si="141"/>
        <v>0.97019999999999995</v>
      </c>
      <c r="AS139" s="122">
        <f t="shared" si="141"/>
        <v>0.97019999999999995</v>
      </c>
      <c r="AT139" s="122">
        <f t="shared" si="141"/>
        <v>0.97019999999999995</v>
      </c>
      <c r="AU139" s="122">
        <f t="shared" si="141"/>
        <v>0.97019999999999995</v>
      </c>
      <c r="AV139" s="122">
        <f t="shared" si="141"/>
        <v>0.97019999999999995</v>
      </c>
    </row>
    <row r="140" spans="1:48">
      <c r="A140" s="4" t="s">
        <v>16</v>
      </c>
      <c r="B140" s="174" t="str">
        <f t="shared" si="139"/>
        <v>CNK</v>
      </c>
      <c r="C140" s="174" t="str">
        <f t="shared" si="139"/>
        <v>Commercial - Cooking</v>
      </c>
      <c r="E140" s="168">
        <f t="shared" si="140"/>
        <v>0.02</v>
      </c>
      <c r="I140" s="179"/>
      <c r="J140" s="183">
        <f t="shared" si="141"/>
        <v>0.97019999999999995</v>
      </c>
      <c r="K140" s="122">
        <f t="shared" si="141"/>
        <v>0.97019999999999995</v>
      </c>
      <c r="L140" s="122">
        <f t="shared" si="141"/>
        <v>0.97019999999999995</v>
      </c>
      <c r="M140" s="122">
        <f t="shared" si="141"/>
        <v>0.97019999999999995</v>
      </c>
      <c r="N140" s="122">
        <f t="shared" si="141"/>
        <v>0.97019999999999995</v>
      </c>
      <c r="O140" s="122">
        <f t="shared" si="141"/>
        <v>0.97019999999999995</v>
      </c>
      <c r="P140" s="122">
        <f t="shared" si="141"/>
        <v>0.97019999999999995</v>
      </c>
      <c r="Q140" s="122">
        <f t="shared" si="141"/>
        <v>0.97019999999999995</v>
      </c>
      <c r="R140" s="122">
        <f t="shared" si="141"/>
        <v>0.97019999999999995</v>
      </c>
      <c r="S140" s="122">
        <f t="shared" si="141"/>
        <v>0.97019999999999995</v>
      </c>
      <c r="T140" s="122">
        <f t="shared" si="141"/>
        <v>0.97019999999999995</v>
      </c>
      <c r="U140" s="122">
        <f t="shared" si="141"/>
        <v>0.97019999999999995</v>
      </c>
      <c r="V140" s="122">
        <f t="shared" si="141"/>
        <v>0.97019999999999995</v>
      </c>
      <c r="W140" s="122">
        <f t="shared" si="141"/>
        <v>0.97019999999999995</v>
      </c>
      <c r="X140" s="122">
        <f t="shared" si="141"/>
        <v>0.97019999999999995</v>
      </c>
      <c r="Y140" s="122">
        <f t="shared" si="141"/>
        <v>0.97019999999999995</v>
      </c>
      <c r="Z140" s="122">
        <f t="shared" si="141"/>
        <v>0.97019999999999995</v>
      </c>
      <c r="AA140" s="122">
        <f t="shared" si="141"/>
        <v>0.97019999999999995</v>
      </c>
      <c r="AB140" s="122">
        <f t="shared" si="141"/>
        <v>0.97019999999999995</v>
      </c>
      <c r="AC140" s="122">
        <f t="shared" si="141"/>
        <v>0.97019999999999995</v>
      </c>
      <c r="AD140" s="122">
        <f t="shared" si="141"/>
        <v>0.97019999999999995</v>
      </c>
      <c r="AE140" s="122">
        <f t="shared" si="141"/>
        <v>0.97019999999999995</v>
      </c>
      <c r="AF140" s="122">
        <f t="shared" si="141"/>
        <v>0.97019999999999995</v>
      </c>
      <c r="AG140" s="122">
        <f t="shared" si="141"/>
        <v>0.97019999999999995</v>
      </c>
      <c r="AH140" s="122">
        <f t="shared" si="141"/>
        <v>0.97019999999999995</v>
      </c>
      <c r="AI140" s="122">
        <f t="shared" si="141"/>
        <v>0.97019999999999995</v>
      </c>
      <c r="AJ140" s="122">
        <f t="shared" si="141"/>
        <v>0.97019999999999995</v>
      </c>
      <c r="AK140" s="122">
        <f t="shared" si="141"/>
        <v>0.97019999999999995</v>
      </c>
      <c r="AL140" s="122">
        <f t="shared" si="141"/>
        <v>0.97019999999999995</v>
      </c>
      <c r="AM140" s="122">
        <f t="shared" si="141"/>
        <v>0.97019999999999995</v>
      </c>
      <c r="AN140" s="122">
        <f t="shared" si="141"/>
        <v>0.97019999999999995</v>
      </c>
      <c r="AO140" s="122">
        <f t="shared" si="141"/>
        <v>0.97019999999999995</v>
      </c>
      <c r="AP140" s="122">
        <f t="shared" si="141"/>
        <v>0.97019999999999995</v>
      </c>
      <c r="AQ140" s="122">
        <f t="shared" si="141"/>
        <v>0.97019999999999995</v>
      </c>
      <c r="AR140" s="122">
        <f t="shared" si="141"/>
        <v>0.97019999999999995</v>
      </c>
      <c r="AS140" s="122">
        <f t="shared" si="141"/>
        <v>0.97019999999999995</v>
      </c>
      <c r="AT140" s="122">
        <f t="shared" si="141"/>
        <v>0.97019999999999995</v>
      </c>
      <c r="AU140" s="122">
        <f t="shared" si="141"/>
        <v>0.97019999999999995</v>
      </c>
      <c r="AV140" s="122">
        <f t="shared" si="141"/>
        <v>0.97019999999999995</v>
      </c>
    </row>
    <row r="141" spans="1:48">
      <c r="A141" s="4" t="s">
        <v>16</v>
      </c>
      <c r="B141" s="174" t="str">
        <f t="shared" si="139"/>
        <v>CNL</v>
      </c>
      <c r="C141" s="174" t="str">
        <f t="shared" si="139"/>
        <v>Commercial - Lighting</v>
      </c>
      <c r="E141" s="168">
        <f t="shared" si="140"/>
        <v>0.02</v>
      </c>
      <c r="I141" s="179"/>
      <c r="J141" s="183">
        <f t="shared" si="141"/>
        <v>0.97019999999999995</v>
      </c>
      <c r="K141" s="122">
        <f t="shared" si="141"/>
        <v>0.97019999999999995</v>
      </c>
      <c r="L141" s="122">
        <f t="shared" si="141"/>
        <v>0.97019999999999995</v>
      </c>
      <c r="M141" s="122">
        <f t="shared" si="141"/>
        <v>0.97019999999999995</v>
      </c>
      <c r="N141" s="122">
        <f t="shared" si="141"/>
        <v>0.97019999999999995</v>
      </c>
      <c r="O141" s="122">
        <f t="shared" si="141"/>
        <v>0.97019999999999995</v>
      </c>
      <c r="P141" s="122">
        <f t="shared" si="141"/>
        <v>0.97019999999999995</v>
      </c>
      <c r="Q141" s="122">
        <f t="shared" si="141"/>
        <v>0.97019999999999995</v>
      </c>
      <c r="R141" s="122">
        <f t="shared" si="141"/>
        <v>0.97019999999999995</v>
      </c>
      <c r="S141" s="122">
        <f t="shared" si="141"/>
        <v>0.97019999999999995</v>
      </c>
      <c r="T141" s="122">
        <f t="shared" si="141"/>
        <v>0.97019999999999995</v>
      </c>
      <c r="U141" s="122">
        <f t="shared" si="141"/>
        <v>0.97019999999999995</v>
      </c>
      <c r="V141" s="122">
        <f t="shared" si="141"/>
        <v>0.97019999999999995</v>
      </c>
      <c r="W141" s="122">
        <f t="shared" si="141"/>
        <v>0.97019999999999995</v>
      </c>
      <c r="X141" s="122">
        <f t="shared" si="141"/>
        <v>0.97019999999999995</v>
      </c>
      <c r="Y141" s="122">
        <f t="shared" si="141"/>
        <v>0.97019999999999995</v>
      </c>
      <c r="Z141" s="122">
        <f t="shared" si="141"/>
        <v>0.97019999999999995</v>
      </c>
      <c r="AA141" s="122">
        <f t="shared" si="141"/>
        <v>0.97019999999999995</v>
      </c>
      <c r="AB141" s="122">
        <f t="shared" si="141"/>
        <v>0.97019999999999995</v>
      </c>
      <c r="AC141" s="122">
        <f t="shared" si="141"/>
        <v>0.97019999999999995</v>
      </c>
      <c r="AD141" s="122">
        <f t="shared" si="141"/>
        <v>0.97019999999999995</v>
      </c>
      <c r="AE141" s="122">
        <f t="shared" si="141"/>
        <v>0.97019999999999995</v>
      </c>
      <c r="AF141" s="122">
        <f t="shared" si="141"/>
        <v>0.97019999999999995</v>
      </c>
      <c r="AG141" s="122">
        <f t="shared" si="141"/>
        <v>0.97019999999999995</v>
      </c>
      <c r="AH141" s="122">
        <f t="shared" si="141"/>
        <v>0.97019999999999995</v>
      </c>
      <c r="AI141" s="122">
        <f t="shared" si="141"/>
        <v>0.97019999999999995</v>
      </c>
      <c r="AJ141" s="122">
        <f t="shared" si="141"/>
        <v>0.97019999999999995</v>
      </c>
      <c r="AK141" s="122">
        <f t="shared" si="141"/>
        <v>0.97019999999999995</v>
      </c>
      <c r="AL141" s="122">
        <f t="shared" si="141"/>
        <v>0.97019999999999995</v>
      </c>
      <c r="AM141" s="122">
        <f t="shared" si="141"/>
        <v>0.97019999999999995</v>
      </c>
      <c r="AN141" s="122">
        <f t="shared" si="141"/>
        <v>0.97019999999999995</v>
      </c>
      <c r="AO141" s="122">
        <f t="shared" si="141"/>
        <v>0.97019999999999995</v>
      </c>
      <c r="AP141" s="122">
        <f t="shared" si="141"/>
        <v>0.97019999999999995</v>
      </c>
      <c r="AQ141" s="122">
        <f t="shared" si="141"/>
        <v>0.97019999999999995</v>
      </c>
      <c r="AR141" s="122">
        <f t="shared" si="141"/>
        <v>0.97019999999999995</v>
      </c>
      <c r="AS141" s="122">
        <f t="shared" si="141"/>
        <v>0.97019999999999995</v>
      </c>
      <c r="AT141" s="122">
        <f t="shared" si="141"/>
        <v>0.97019999999999995</v>
      </c>
      <c r="AU141" s="122">
        <f t="shared" si="141"/>
        <v>0.97019999999999995</v>
      </c>
      <c r="AV141" s="122">
        <f t="shared" si="141"/>
        <v>0.97019999999999995</v>
      </c>
    </row>
    <row r="142" spans="1:48">
      <c r="A142" s="4" t="s">
        <v>16</v>
      </c>
      <c r="B142" s="174" t="str">
        <f t="shared" si="139"/>
        <v>CNR</v>
      </c>
      <c r="C142" s="174" t="str">
        <f t="shared" si="139"/>
        <v>Commercial - Refrigeration</v>
      </c>
      <c r="E142" s="168">
        <f t="shared" si="140"/>
        <v>0.02</v>
      </c>
      <c r="I142" s="179"/>
      <c r="J142" s="183">
        <f t="shared" si="141"/>
        <v>0.97019999999999995</v>
      </c>
      <c r="K142" s="122">
        <f t="shared" si="141"/>
        <v>0.97019999999999995</v>
      </c>
      <c r="L142" s="122">
        <f t="shared" si="141"/>
        <v>0.97019999999999995</v>
      </c>
      <c r="M142" s="122">
        <f t="shared" si="141"/>
        <v>0.97019999999999995</v>
      </c>
      <c r="N142" s="122">
        <f t="shared" si="141"/>
        <v>0.97019999999999995</v>
      </c>
      <c r="O142" s="122">
        <f t="shared" si="141"/>
        <v>0.97019999999999995</v>
      </c>
      <c r="P142" s="122">
        <f t="shared" si="141"/>
        <v>0.97019999999999995</v>
      </c>
      <c r="Q142" s="122">
        <f t="shared" si="141"/>
        <v>0.97019999999999995</v>
      </c>
      <c r="R142" s="122">
        <f t="shared" si="141"/>
        <v>0.97019999999999995</v>
      </c>
      <c r="S142" s="122">
        <f t="shared" si="141"/>
        <v>0.97019999999999995</v>
      </c>
      <c r="T142" s="122">
        <f t="shared" si="141"/>
        <v>0.97019999999999995</v>
      </c>
      <c r="U142" s="122">
        <f t="shared" si="141"/>
        <v>0.97019999999999995</v>
      </c>
      <c r="V142" s="122">
        <f t="shared" si="141"/>
        <v>0.97019999999999995</v>
      </c>
      <c r="W142" s="122">
        <f t="shared" si="141"/>
        <v>0.97019999999999995</v>
      </c>
      <c r="X142" s="122">
        <f t="shared" si="141"/>
        <v>0.97019999999999995</v>
      </c>
      <c r="Y142" s="122">
        <f t="shared" si="141"/>
        <v>0.97019999999999995</v>
      </c>
      <c r="Z142" s="122">
        <f t="shared" si="141"/>
        <v>0.97019999999999995</v>
      </c>
      <c r="AA142" s="122">
        <f t="shared" si="141"/>
        <v>0.97019999999999995</v>
      </c>
      <c r="AB142" s="122">
        <f t="shared" si="141"/>
        <v>0.97019999999999995</v>
      </c>
      <c r="AC142" s="122">
        <f t="shared" si="141"/>
        <v>0.97019999999999995</v>
      </c>
      <c r="AD142" s="122">
        <f t="shared" si="141"/>
        <v>0.97019999999999995</v>
      </c>
      <c r="AE142" s="122">
        <f t="shared" si="141"/>
        <v>0.97019999999999995</v>
      </c>
      <c r="AF142" s="122">
        <f t="shared" si="141"/>
        <v>0.97019999999999995</v>
      </c>
      <c r="AG142" s="122">
        <f t="shared" si="141"/>
        <v>0.97019999999999995</v>
      </c>
      <c r="AH142" s="122">
        <f t="shared" si="141"/>
        <v>0.97019999999999995</v>
      </c>
      <c r="AI142" s="122">
        <f t="shared" si="141"/>
        <v>0.97019999999999995</v>
      </c>
      <c r="AJ142" s="122">
        <f t="shared" si="141"/>
        <v>0.97019999999999995</v>
      </c>
      <c r="AK142" s="122">
        <f t="shared" si="141"/>
        <v>0.97019999999999995</v>
      </c>
      <c r="AL142" s="122">
        <f t="shared" si="141"/>
        <v>0.97019999999999995</v>
      </c>
      <c r="AM142" s="122">
        <f t="shared" si="141"/>
        <v>0.97019999999999995</v>
      </c>
      <c r="AN142" s="122">
        <f t="shared" si="141"/>
        <v>0.97019999999999995</v>
      </c>
      <c r="AO142" s="122">
        <f t="shared" si="141"/>
        <v>0.97019999999999995</v>
      </c>
      <c r="AP142" s="122">
        <f t="shared" si="141"/>
        <v>0.97019999999999995</v>
      </c>
      <c r="AQ142" s="122">
        <f t="shared" si="141"/>
        <v>0.97019999999999995</v>
      </c>
      <c r="AR142" s="122">
        <f t="shared" si="141"/>
        <v>0.97019999999999995</v>
      </c>
      <c r="AS142" s="122">
        <f t="shared" si="141"/>
        <v>0.97019999999999995</v>
      </c>
      <c r="AT142" s="122">
        <f t="shared" si="141"/>
        <v>0.97019999999999995</v>
      </c>
      <c r="AU142" s="122">
        <f t="shared" si="141"/>
        <v>0.97019999999999995</v>
      </c>
      <c r="AV142" s="122">
        <f t="shared" si="141"/>
        <v>0.97019999999999995</v>
      </c>
    </row>
    <row r="143" spans="1:48">
      <c r="A143" s="4" t="s">
        <v>16</v>
      </c>
      <c r="B143" s="174" t="str">
        <f t="shared" si="139"/>
        <v>CNW</v>
      </c>
      <c r="C143" s="174" t="str">
        <f t="shared" si="139"/>
        <v>Commercial - Water Heating</v>
      </c>
      <c r="E143" s="168">
        <f t="shared" si="140"/>
        <v>0.02</v>
      </c>
      <c r="I143" s="179"/>
      <c r="J143" s="183">
        <f t="shared" si="141"/>
        <v>0.97019999999999995</v>
      </c>
      <c r="K143" s="122">
        <f t="shared" si="141"/>
        <v>0.97019999999999995</v>
      </c>
      <c r="L143" s="122">
        <f t="shared" si="141"/>
        <v>0.97019999999999995</v>
      </c>
      <c r="M143" s="122">
        <f t="shared" si="141"/>
        <v>0.97019999999999995</v>
      </c>
      <c r="N143" s="122">
        <f t="shared" si="141"/>
        <v>0.97019999999999995</v>
      </c>
      <c r="O143" s="122">
        <f t="shared" si="141"/>
        <v>0.97019999999999995</v>
      </c>
      <c r="P143" s="122">
        <f t="shared" si="141"/>
        <v>0.97019999999999995</v>
      </c>
      <c r="Q143" s="122">
        <f t="shared" si="141"/>
        <v>0.97019999999999995</v>
      </c>
      <c r="R143" s="122">
        <f t="shared" si="141"/>
        <v>0.97019999999999995</v>
      </c>
      <c r="S143" s="122">
        <f t="shared" si="141"/>
        <v>0.97019999999999995</v>
      </c>
      <c r="T143" s="122">
        <f t="shared" si="141"/>
        <v>0.97019999999999995</v>
      </c>
      <c r="U143" s="122">
        <f t="shared" si="141"/>
        <v>0.97019999999999995</v>
      </c>
      <c r="V143" s="122">
        <f t="shared" si="141"/>
        <v>0.97019999999999995</v>
      </c>
      <c r="W143" s="122">
        <f t="shared" si="141"/>
        <v>0.97019999999999995</v>
      </c>
      <c r="X143" s="122">
        <f t="shared" si="141"/>
        <v>0.97019999999999995</v>
      </c>
      <c r="Y143" s="122">
        <f t="shared" si="141"/>
        <v>0.97019999999999995</v>
      </c>
      <c r="Z143" s="122">
        <f t="shared" si="141"/>
        <v>0.97019999999999995</v>
      </c>
      <c r="AA143" s="122">
        <f t="shared" si="141"/>
        <v>0.97019999999999995</v>
      </c>
      <c r="AB143" s="122">
        <f t="shared" si="141"/>
        <v>0.97019999999999995</v>
      </c>
      <c r="AC143" s="122">
        <f t="shared" si="141"/>
        <v>0.97019999999999995</v>
      </c>
      <c r="AD143" s="122">
        <f t="shared" si="141"/>
        <v>0.97019999999999995</v>
      </c>
      <c r="AE143" s="122">
        <f t="shared" si="141"/>
        <v>0.97019999999999995</v>
      </c>
      <c r="AF143" s="122">
        <f t="shared" si="141"/>
        <v>0.97019999999999995</v>
      </c>
      <c r="AG143" s="122">
        <f t="shared" si="141"/>
        <v>0.97019999999999995</v>
      </c>
      <c r="AH143" s="122">
        <f t="shared" si="141"/>
        <v>0.97019999999999995</v>
      </c>
      <c r="AI143" s="122">
        <f t="shared" si="141"/>
        <v>0.97019999999999995</v>
      </c>
      <c r="AJ143" s="122">
        <f t="shared" si="141"/>
        <v>0.97019999999999995</v>
      </c>
      <c r="AK143" s="122">
        <f t="shared" si="141"/>
        <v>0.97019999999999995</v>
      </c>
      <c r="AL143" s="122">
        <f t="shared" si="141"/>
        <v>0.97019999999999995</v>
      </c>
      <c r="AM143" s="122">
        <f t="shared" si="141"/>
        <v>0.97019999999999995</v>
      </c>
      <c r="AN143" s="122">
        <f t="shared" si="141"/>
        <v>0.97019999999999995</v>
      </c>
      <c r="AO143" s="122">
        <f t="shared" si="141"/>
        <v>0.97019999999999995</v>
      </c>
      <c r="AP143" s="122">
        <f t="shared" si="141"/>
        <v>0.97019999999999995</v>
      </c>
      <c r="AQ143" s="122">
        <f t="shared" si="141"/>
        <v>0.97019999999999995</v>
      </c>
      <c r="AR143" s="122">
        <f t="shared" si="141"/>
        <v>0.97019999999999995</v>
      </c>
      <c r="AS143" s="122">
        <f t="shared" si="141"/>
        <v>0.97019999999999995</v>
      </c>
      <c r="AT143" s="122">
        <f t="shared" si="141"/>
        <v>0.97019999999999995</v>
      </c>
      <c r="AU143" s="122">
        <f t="shared" si="141"/>
        <v>0.97019999999999995</v>
      </c>
      <c r="AV143" s="122">
        <f t="shared" si="141"/>
        <v>0.97019999999999995</v>
      </c>
    </row>
    <row r="144" spans="1:48">
      <c r="A144" s="4" t="s">
        <v>16</v>
      </c>
      <c r="B144" s="174" t="str">
        <f t="shared" si="139"/>
        <v>CNG</v>
      </c>
      <c r="C144" s="174" t="str">
        <f t="shared" si="139"/>
        <v>Commercial - Public lights</v>
      </c>
      <c r="E144" s="168">
        <f t="shared" si="140"/>
        <v>0.02</v>
      </c>
      <c r="I144" s="179"/>
      <c r="J144" s="183">
        <f t="shared" si="141"/>
        <v>0.97019999999999995</v>
      </c>
      <c r="K144" s="122">
        <f t="shared" si="141"/>
        <v>0.97019999999999995</v>
      </c>
      <c r="L144" s="122">
        <f t="shared" si="141"/>
        <v>0.97019999999999995</v>
      </c>
      <c r="M144" s="122">
        <f t="shared" si="141"/>
        <v>0.97019999999999995</v>
      </c>
      <c r="N144" s="122">
        <f t="shared" si="141"/>
        <v>0.97019999999999995</v>
      </c>
      <c r="O144" s="122">
        <f t="shared" si="141"/>
        <v>0.97019999999999995</v>
      </c>
      <c r="P144" s="122">
        <f t="shared" si="141"/>
        <v>0.97019999999999995</v>
      </c>
      <c r="Q144" s="122">
        <f t="shared" si="141"/>
        <v>0.97019999999999995</v>
      </c>
      <c r="R144" s="122">
        <f t="shared" si="141"/>
        <v>0.97019999999999995</v>
      </c>
      <c r="S144" s="122">
        <f t="shared" si="141"/>
        <v>0.97019999999999995</v>
      </c>
      <c r="T144" s="122">
        <f t="shared" si="141"/>
        <v>0.97019999999999995</v>
      </c>
      <c r="U144" s="122">
        <f t="shared" si="141"/>
        <v>0.97019999999999995</v>
      </c>
      <c r="V144" s="122">
        <f t="shared" si="141"/>
        <v>0.97019999999999995</v>
      </c>
      <c r="W144" s="122">
        <f t="shared" si="141"/>
        <v>0.97019999999999995</v>
      </c>
      <c r="X144" s="122">
        <f t="shared" si="141"/>
        <v>0.97019999999999995</v>
      </c>
      <c r="Y144" s="122">
        <f t="shared" si="141"/>
        <v>0.97019999999999995</v>
      </c>
      <c r="Z144" s="122">
        <f t="shared" si="141"/>
        <v>0.97019999999999995</v>
      </c>
      <c r="AA144" s="122">
        <f t="shared" si="141"/>
        <v>0.97019999999999995</v>
      </c>
      <c r="AB144" s="122">
        <f t="shared" si="141"/>
        <v>0.97019999999999995</v>
      </c>
      <c r="AC144" s="122">
        <f t="shared" si="141"/>
        <v>0.97019999999999995</v>
      </c>
      <c r="AD144" s="122">
        <f t="shared" si="141"/>
        <v>0.97019999999999995</v>
      </c>
      <c r="AE144" s="122">
        <f t="shared" ref="AE144:AV146" si="142">AE133*(1-$E144)</f>
        <v>0.97019999999999995</v>
      </c>
      <c r="AF144" s="122">
        <f t="shared" si="142"/>
        <v>0.97019999999999995</v>
      </c>
      <c r="AG144" s="122">
        <f t="shared" si="142"/>
        <v>0.97019999999999995</v>
      </c>
      <c r="AH144" s="122">
        <f t="shared" si="142"/>
        <v>0.97019999999999995</v>
      </c>
      <c r="AI144" s="122">
        <f t="shared" si="142"/>
        <v>0.97019999999999995</v>
      </c>
      <c r="AJ144" s="122">
        <f t="shared" si="142"/>
        <v>0.97019999999999995</v>
      </c>
      <c r="AK144" s="122">
        <f t="shared" si="142"/>
        <v>0.97019999999999995</v>
      </c>
      <c r="AL144" s="122">
        <f t="shared" si="142"/>
        <v>0.97019999999999995</v>
      </c>
      <c r="AM144" s="122">
        <f t="shared" si="142"/>
        <v>0.97019999999999995</v>
      </c>
      <c r="AN144" s="122">
        <f t="shared" si="142"/>
        <v>0.97019999999999995</v>
      </c>
      <c r="AO144" s="122">
        <f t="shared" si="142"/>
        <v>0.97019999999999995</v>
      </c>
      <c r="AP144" s="122">
        <f t="shared" si="142"/>
        <v>0.97019999999999995</v>
      </c>
      <c r="AQ144" s="122">
        <f t="shared" si="142"/>
        <v>0.97019999999999995</v>
      </c>
      <c r="AR144" s="122">
        <f t="shared" si="142"/>
        <v>0.97019999999999995</v>
      </c>
      <c r="AS144" s="122">
        <f t="shared" si="142"/>
        <v>0.97019999999999995</v>
      </c>
      <c r="AT144" s="122">
        <f t="shared" si="142"/>
        <v>0.97019999999999995</v>
      </c>
      <c r="AU144" s="122">
        <f t="shared" si="142"/>
        <v>0.97019999999999995</v>
      </c>
      <c r="AV144" s="122">
        <f t="shared" si="142"/>
        <v>0.97019999999999995</v>
      </c>
    </row>
    <row r="145" spans="1:48">
      <c r="A145" s="4" t="s">
        <v>16</v>
      </c>
      <c r="B145" s="174" t="str">
        <f t="shared" si="139"/>
        <v>CNT</v>
      </c>
      <c r="C145" s="174" t="str">
        <f t="shared" si="139"/>
        <v>Commercial - Public Water</v>
      </c>
      <c r="E145" s="168">
        <f t="shared" si="140"/>
        <v>0.02</v>
      </c>
      <c r="I145" s="179"/>
      <c r="J145" s="183">
        <f t="shared" ref="J145:AV146" si="143">J134*(1-$E145)</f>
        <v>0.97019999999999995</v>
      </c>
      <c r="K145" s="122">
        <f t="shared" si="143"/>
        <v>0.97019999999999995</v>
      </c>
      <c r="L145" s="122">
        <f t="shared" si="143"/>
        <v>0.97019999999999995</v>
      </c>
      <c r="M145" s="122">
        <f t="shared" si="143"/>
        <v>0.97019999999999995</v>
      </c>
      <c r="N145" s="122">
        <f t="shared" si="143"/>
        <v>0.97019999999999995</v>
      </c>
      <c r="O145" s="122">
        <f t="shared" si="143"/>
        <v>0.97019999999999995</v>
      </c>
      <c r="P145" s="122">
        <f t="shared" si="143"/>
        <v>0.97019999999999995</v>
      </c>
      <c r="Q145" s="122">
        <f t="shared" si="143"/>
        <v>0.97019999999999995</v>
      </c>
      <c r="R145" s="122">
        <f t="shared" si="143"/>
        <v>0.97019999999999995</v>
      </c>
      <c r="S145" s="122">
        <f t="shared" si="143"/>
        <v>0.97019999999999995</v>
      </c>
      <c r="T145" s="122">
        <f t="shared" si="143"/>
        <v>0.97019999999999995</v>
      </c>
      <c r="U145" s="122">
        <f t="shared" si="143"/>
        <v>0.97019999999999995</v>
      </c>
      <c r="V145" s="122">
        <f t="shared" si="143"/>
        <v>0.97019999999999995</v>
      </c>
      <c r="W145" s="122">
        <f t="shared" si="143"/>
        <v>0.97019999999999995</v>
      </c>
      <c r="X145" s="122">
        <f t="shared" si="143"/>
        <v>0.97019999999999995</v>
      </c>
      <c r="Y145" s="122">
        <f t="shared" si="143"/>
        <v>0.97019999999999995</v>
      </c>
      <c r="Z145" s="122">
        <f t="shared" si="143"/>
        <v>0.97019999999999995</v>
      </c>
      <c r="AA145" s="122">
        <f t="shared" si="143"/>
        <v>0.97019999999999995</v>
      </c>
      <c r="AB145" s="122">
        <f t="shared" si="143"/>
        <v>0.97019999999999995</v>
      </c>
      <c r="AC145" s="122">
        <f t="shared" si="143"/>
        <v>0.97019999999999995</v>
      </c>
      <c r="AD145" s="122">
        <f t="shared" si="143"/>
        <v>0.97019999999999995</v>
      </c>
      <c r="AE145" s="122">
        <f t="shared" si="143"/>
        <v>0.97019999999999995</v>
      </c>
      <c r="AF145" s="122">
        <f t="shared" si="143"/>
        <v>0.97019999999999995</v>
      </c>
      <c r="AG145" s="122">
        <f t="shared" si="143"/>
        <v>0.97019999999999995</v>
      </c>
      <c r="AH145" s="122">
        <f t="shared" si="143"/>
        <v>0.97019999999999995</v>
      </c>
      <c r="AI145" s="122">
        <f t="shared" si="142"/>
        <v>0.97019999999999995</v>
      </c>
      <c r="AJ145" s="122">
        <f t="shared" si="142"/>
        <v>0.97019999999999995</v>
      </c>
      <c r="AK145" s="122">
        <f t="shared" si="142"/>
        <v>0.97019999999999995</v>
      </c>
      <c r="AL145" s="122">
        <f t="shared" si="142"/>
        <v>0.97019999999999995</v>
      </c>
      <c r="AM145" s="122">
        <f t="shared" si="142"/>
        <v>0.97019999999999995</v>
      </c>
      <c r="AN145" s="122">
        <f t="shared" si="142"/>
        <v>0.97019999999999995</v>
      </c>
      <c r="AO145" s="122">
        <f t="shared" si="142"/>
        <v>0.97019999999999995</v>
      </c>
      <c r="AP145" s="122">
        <f t="shared" si="142"/>
        <v>0.97019999999999995</v>
      </c>
      <c r="AQ145" s="122">
        <f t="shared" si="142"/>
        <v>0.97019999999999995</v>
      </c>
      <c r="AR145" s="122">
        <f t="shared" si="142"/>
        <v>0.97019999999999995</v>
      </c>
      <c r="AS145" s="122">
        <f t="shared" si="143"/>
        <v>0.97019999999999995</v>
      </c>
      <c r="AT145" s="122">
        <f t="shared" si="143"/>
        <v>0.97019999999999995</v>
      </c>
      <c r="AU145" s="122">
        <f t="shared" si="143"/>
        <v>0.97019999999999995</v>
      </c>
      <c r="AV145" s="122">
        <f t="shared" si="143"/>
        <v>0.97019999999999995</v>
      </c>
    </row>
    <row r="146" spans="1:48">
      <c r="A146" s="4" t="s">
        <v>16</v>
      </c>
      <c r="B146" s="174" t="str">
        <f t="shared" si="139"/>
        <v>CNO</v>
      </c>
      <c r="C146" s="174" t="str">
        <f t="shared" si="139"/>
        <v>Commercial - Other</v>
      </c>
      <c r="E146" s="168">
        <f t="shared" si="140"/>
        <v>0.02</v>
      </c>
      <c r="I146" s="179"/>
      <c r="J146" s="183">
        <f t="shared" si="143"/>
        <v>0.97019999999999995</v>
      </c>
      <c r="K146" s="122">
        <f t="shared" si="143"/>
        <v>0.97019999999999995</v>
      </c>
      <c r="L146" s="122">
        <f t="shared" si="143"/>
        <v>0.97019999999999995</v>
      </c>
      <c r="M146" s="122">
        <f t="shared" si="143"/>
        <v>0.97019999999999995</v>
      </c>
      <c r="N146" s="122">
        <f t="shared" si="143"/>
        <v>0.97019999999999995</v>
      </c>
      <c r="O146" s="122">
        <f t="shared" si="143"/>
        <v>0.97019999999999995</v>
      </c>
      <c r="P146" s="122">
        <f t="shared" si="143"/>
        <v>0.97019999999999995</v>
      </c>
      <c r="Q146" s="122">
        <f t="shared" si="143"/>
        <v>0.97019999999999995</v>
      </c>
      <c r="R146" s="122">
        <f t="shared" si="143"/>
        <v>0.97019999999999995</v>
      </c>
      <c r="S146" s="122">
        <f t="shared" si="143"/>
        <v>0.97019999999999995</v>
      </c>
      <c r="T146" s="122">
        <f t="shared" si="143"/>
        <v>0.97019999999999995</v>
      </c>
      <c r="U146" s="122">
        <f t="shared" si="143"/>
        <v>0.97019999999999995</v>
      </c>
      <c r="V146" s="122">
        <f t="shared" si="143"/>
        <v>0.97019999999999995</v>
      </c>
      <c r="W146" s="122">
        <f t="shared" si="143"/>
        <v>0.97019999999999995</v>
      </c>
      <c r="X146" s="122">
        <f t="shared" si="143"/>
        <v>0.97019999999999995</v>
      </c>
      <c r="Y146" s="122">
        <f t="shared" si="143"/>
        <v>0.97019999999999995</v>
      </c>
      <c r="Z146" s="122">
        <f t="shared" si="143"/>
        <v>0.97019999999999995</v>
      </c>
      <c r="AA146" s="122">
        <f t="shared" si="143"/>
        <v>0.97019999999999995</v>
      </c>
      <c r="AB146" s="122">
        <f t="shared" si="143"/>
        <v>0.97019999999999995</v>
      </c>
      <c r="AC146" s="122">
        <f t="shared" si="143"/>
        <v>0.97019999999999995</v>
      </c>
      <c r="AD146" s="122">
        <f t="shared" si="143"/>
        <v>0.97019999999999995</v>
      </c>
      <c r="AE146" s="122">
        <f t="shared" si="143"/>
        <v>0.97019999999999995</v>
      </c>
      <c r="AF146" s="122">
        <f t="shared" si="143"/>
        <v>0.97019999999999995</v>
      </c>
      <c r="AG146" s="122">
        <f t="shared" si="143"/>
        <v>0.97019999999999995</v>
      </c>
      <c r="AH146" s="122">
        <f t="shared" si="143"/>
        <v>0.97019999999999995</v>
      </c>
      <c r="AI146" s="122">
        <f t="shared" si="142"/>
        <v>0.97019999999999995</v>
      </c>
      <c r="AJ146" s="122">
        <f t="shared" si="142"/>
        <v>0.97019999999999995</v>
      </c>
      <c r="AK146" s="122">
        <f t="shared" si="142"/>
        <v>0.97019999999999995</v>
      </c>
      <c r="AL146" s="122">
        <f t="shared" si="142"/>
        <v>0.97019999999999995</v>
      </c>
      <c r="AM146" s="122">
        <f t="shared" si="142"/>
        <v>0.97019999999999995</v>
      </c>
      <c r="AN146" s="122">
        <f t="shared" si="142"/>
        <v>0.97019999999999995</v>
      </c>
      <c r="AO146" s="122">
        <f t="shared" si="142"/>
        <v>0.97019999999999995</v>
      </c>
      <c r="AP146" s="122">
        <f t="shared" si="142"/>
        <v>0.97019999999999995</v>
      </c>
      <c r="AQ146" s="122">
        <f t="shared" si="142"/>
        <v>0.97019999999999995</v>
      </c>
      <c r="AR146" s="122">
        <f t="shared" si="142"/>
        <v>0.97019999999999995</v>
      </c>
      <c r="AS146" s="122">
        <f t="shared" si="143"/>
        <v>0.97019999999999995</v>
      </c>
      <c r="AT146" s="122">
        <f t="shared" si="143"/>
        <v>0.97019999999999995</v>
      </c>
      <c r="AU146" s="122">
        <f t="shared" si="143"/>
        <v>0.97019999999999995</v>
      </c>
      <c r="AV146" s="122">
        <f t="shared" si="143"/>
        <v>0.97019999999999995</v>
      </c>
    </row>
    <row r="147" spans="1:48">
      <c r="A147" s="4" t="s">
        <v>16</v>
      </c>
      <c r="I147" s="179"/>
      <c r="K147" s="96"/>
    </row>
    <row r="148" spans="1:48" ht="19.5" thickBot="1">
      <c r="A148" s="4" t="s">
        <v>16</v>
      </c>
      <c r="B148" s="193" t="s">
        <v>492</v>
      </c>
      <c r="C148" s="94"/>
      <c r="D148" s="94"/>
      <c r="E148" s="94"/>
      <c r="F148" s="94"/>
      <c r="G148" s="94"/>
      <c r="H148" s="94"/>
      <c r="I148" s="180"/>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row>
    <row r="149" spans="1:48">
      <c r="A149" s="4" t="s">
        <v>16</v>
      </c>
      <c r="B149" s="192"/>
      <c r="C149" s="192"/>
      <c r="D149" s="192"/>
      <c r="E149" s="192"/>
      <c r="F149" s="192"/>
      <c r="G149" s="192"/>
      <c r="H149" s="192"/>
      <c r="I149" s="191"/>
      <c r="K149" s="96"/>
    </row>
    <row r="150" spans="1:48" ht="15.75" thickBot="1">
      <c r="A150" s="4" t="s">
        <v>16</v>
      </c>
      <c r="B150" s="94" t="s">
        <v>506</v>
      </c>
      <c r="C150" s="192"/>
      <c r="D150" s="192"/>
      <c r="E150" s="192"/>
      <c r="F150" s="192"/>
      <c r="G150" s="192"/>
      <c r="H150" s="192"/>
      <c r="I150" s="191"/>
      <c r="K150" s="96"/>
    </row>
    <row r="151" spans="1:48">
      <c r="A151" s="4" t="s">
        <v>16</v>
      </c>
      <c r="B151" s="96" t="str">
        <f>B92</f>
        <v>CEC</v>
      </c>
      <c r="C151" s="96" t="str">
        <f>C92</f>
        <v>Commercial - Cooling</v>
      </c>
      <c r="D151" s="192"/>
      <c r="E151" s="192"/>
      <c r="F151" s="192"/>
      <c r="G151" s="192"/>
      <c r="H151" s="192"/>
      <c r="I151" s="191"/>
      <c r="J151" s="188">
        <f t="shared" ref="J151:J159" si="144">J92*J$34/1000</f>
        <v>27.932878870776872</v>
      </c>
      <c r="K151" s="188">
        <f t="shared" ref="K151:AV158" si="145">K92*K$34/1000</f>
        <v>27.182413750658707</v>
      </c>
      <c r="L151" s="188">
        <f t="shared" si="145"/>
        <v>26.492003713185113</v>
      </c>
      <c r="M151" s="188">
        <f t="shared" si="145"/>
        <v>25.741064630366179</v>
      </c>
      <c r="N151" s="188">
        <f t="shared" si="145"/>
        <v>24.958206291803975</v>
      </c>
      <c r="O151" s="188">
        <f t="shared" si="145"/>
        <v>24.056668064799556</v>
      </c>
      <c r="P151" s="188">
        <f>P92*P$34/1000</f>
        <v>24.211751661334905</v>
      </c>
      <c r="Q151" s="188">
        <f>Q92*Q$34/1000</f>
        <v>24.393731912972637</v>
      </c>
      <c r="R151" s="188">
        <f t="shared" si="145"/>
        <v>24.393731912972637</v>
      </c>
      <c r="S151" s="188">
        <f t="shared" si="145"/>
        <v>24.02924477344305</v>
      </c>
      <c r="T151" s="188">
        <f t="shared" si="145"/>
        <v>23.64623575345253</v>
      </c>
      <c r="U151" s="188">
        <f t="shared" si="145"/>
        <v>23.247365100877051</v>
      </c>
      <c r="V151" s="188">
        <f t="shared" si="145"/>
        <v>22.829763424042024</v>
      </c>
      <c r="W151" s="188">
        <f t="shared" si="145"/>
        <v>22.406104340867053</v>
      </c>
      <c r="X151" s="188">
        <f t="shared" si="145"/>
        <v>22.003347968981714</v>
      </c>
      <c r="Y151" s="188">
        <f t="shared" si="145"/>
        <v>21.581511010478359</v>
      </c>
      <c r="Z151" s="188">
        <f t="shared" si="145"/>
        <v>21.153413662857837</v>
      </c>
      <c r="AA151" s="188">
        <f t="shared" si="145"/>
        <v>20.715700771196705</v>
      </c>
      <c r="AB151" s="188">
        <f t="shared" si="145"/>
        <v>20.267340611152832</v>
      </c>
      <c r="AC151" s="188">
        <f t="shared" si="145"/>
        <v>20.519942451768053</v>
      </c>
      <c r="AD151" s="188">
        <f t="shared" si="145"/>
        <v>20.764952944915457</v>
      </c>
      <c r="AE151" s="188">
        <f t="shared" si="145"/>
        <v>21.029098729176336</v>
      </c>
      <c r="AF151" s="188">
        <f t="shared" si="145"/>
        <v>21.308048199743634</v>
      </c>
      <c r="AG151" s="188">
        <f t="shared" si="145"/>
        <v>21.60020960270603</v>
      </c>
      <c r="AH151" s="188">
        <f t="shared" si="145"/>
        <v>21.901060673069146</v>
      </c>
      <c r="AI151" s="188">
        <f t="shared" si="145"/>
        <v>22.209065293383428</v>
      </c>
      <c r="AJ151" s="188">
        <f t="shared" si="145"/>
        <v>22.517353044812097</v>
      </c>
      <c r="AK151" s="188">
        <f t="shared" si="145"/>
        <v>22.83315502129313</v>
      </c>
      <c r="AL151" s="188">
        <f t="shared" si="145"/>
        <v>23.162826775213283</v>
      </c>
      <c r="AM151" s="188">
        <f t="shared" si="145"/>
        <v>23.530832356711564</v>
      </c>
      <c r="AN151" s="188">
        <f t="shared" si="145"/>
        <v>23.891746195314525</v>
      </c>
      <c r="AO151" s="188">
        <f t="shared" si="145"/>
        <v>24.24593760835646</v>
      </c>
      <c r="AP151" s="188">
        <f t="shared" si="145"/>
        <v>24.593745348592225</v>
      </c>
      <c r="AQ151" s="188">
        <f t="shared" si="145"/>
        <v>24.93548101270537</v>
      </c>
      <c r="AR151" s="188">
        <f t="shared" si="145"/>
        <v>25.355791792731644</v>
      </c>
      <c r="AS151" s="188">
        <f t="shared" si="145"/>
        <v>25.767527376165802</v>
      </c>
      <c r="AT151" s="188">
        <f t="shared" si="145"/>
        <v>26.171159623666728</v>
      </c>
      <c r="AU151" s="188">
        <f t="shared" si="145"/>
        <v>26.567119208895512</v>
      </c>
      <c r="AV151" s="188">
        <f t="shared" si="145"/>
        <v>26.98327656382396</v>
      </c>
    </row>
    <row r="152" spans="1:48">
      <c r="A152" s="4" t="s">
        <v>16</v>
      </c>
      <c r="B152" s="96" t="str">
        <f t="shared" ref="B152:C159" si="146">B93</f>
        <v>CEH</v>
      </c>
      <c r="C152" s="96" t="str">
        <f t="shared" si="146"/>
        <v>Commercial - Space Heating</v>
      </c>
      <c r="D152" s="192"/>
      <c r="E152" s="192"/>
      <c r="F152" s="192"/>
      <c r="G152" s="192"/>
      <c r="H152" s="192"/>
      <c r="I152" s="191"/>
      <c r="J152" s="188">
        <f t="shared" si="144"/>
        <v>1.5703509815003798</v>
      </c>
      <c r="K152" s="188">
        <f t="shared" ref="K152:Y152" si="147">K93*K$34/1000</f>
        <v>1.7096291700728525</v>
      </c>
      <c r="L152" s="188">
        <f t="shared" si="147"/>
        <v>1.8565924579200153</v>
      </c>
      <c r="M152" s="188">
        <f t="shared" si="147"/>
        <v>2.0036670914771593</v>
      </c>
      <c r="N152" s="188">
        <f t="shared" si="147"/>
        <v>2.1523940814942852</v>
      </c>
      <c r="O152" s="188">
        <f t="shared" si="147"/>
        <v>2.2941963422736769</v>
      </c>
      <c r="P152" s="188">
        <f t="shared" si="147"/>
        <v>2.3089860969878235</v>
      </c>
      <c r="Q152" s="188">
        <f t="shared" si="147"/>
        <v>2.3263408872085125</v>
      </c>
      <c r="R152" s="188">
        <f t="shared" si="147"/>
        <v>2.3263408872085125</v>
      </c>
      <c r="S152" s="188">
        <f t="shared" si="147"/>
        <v>2.2915810833960246</v>
      </c>
      <c r="T152" s="188">
        <f t="shared" si="147"/>
        <v>2.2550549156676758</v>
      </c>
      <c r="U152" s="188">
        <f t="shared" si="147"/>
        <v>2.2170160821220626</v>
      </c>
      <c r="V152" s="188">
        <f t="shared" si="147"/>
        <v>2.1771909393823607</v>
      </c>
      <c r="W152" s="188">
        <f t="shared" si="147"/>
        <v>2.1367881239811193</v>
      </c>
      <c r="X152" s="188">
        <f t="shared" si="147"/>
        <v>2.0983787236137101</v>
      </c>
      <c r="Y152" s="188">
        <f t="shared" si="147"/>
        <v>2.0581496775701176</v>
      </c>
      <c r="Z152" s="188">
        <f t="shared" si="145"/>
        <v>2.0173236011408071</v>
      </c>
      <c r="AA152" s="188">
        <f t="shared" si="145"/>
        <v>1.9755805254866858</v>
      </c>
      <c r="AB152" s="188">
        <f t="shared" si="145"/>
        <v>1.9328220588352283</v>
      </c>
      <c r="AC152" s="188">
        <f t="shared" si="145"/>
        <v>1.9569117713935107</v>
      </c>
      <c r="AD152" s="188">
        <f t="shared" si="145"/>
        <v>1.9802775249418976</v>
      </c>
      <c r="AE152" s="188">
        <f t="shared" si="145"/>
        <v>2.0054681411338815</v>
      </c>
      <c r="AF152" s="188">
        <f t="shared" si="145"/>
        <v>2.0320705306805489</v>
      </c>
      <c r="AG152" s="188">
        <f t="shared" si="145"/>
        <v>2.0599328938400854</v>
      </c>
      <c r="AH152" s="188">
        <f t="shared" si="145"/>
        <v>2.0886239587596753</v>
      </c>
      <c r="AI152" s="188">
        <f t="shared" si="145"/>
        <v>2.1179972315431308</v>
      </c>
      <c r="AJ152" s="188">
        <f t="shared" si="145"/>
        <v>2.1473975055041929</v>
      </c>
      <c r="AK152" s="188">
        <f t="shared" si="145"/>
        <v>2.177514383592797</v>
      </c>
      <c r="AL152" s="188">
        <f t="shared" si="145"/>
        <v>2.2089539715672113</v>
      </c>
      <c r="AM152" s="188">
        <f t="shared" si="145"/>
        <v>2.2440493163063704</v>
      </c>
      <c r="AN152" s="188">
        <f t="shared" si="145"/>
        <v>2.2784683474942526</v>
      </c>
      <c r="AO152" s="188">
        <f t="shared" si="145"/>
        <v>2.312246285572658</v>
      </c>
      <c r="AP152" s="188">
        <f t="shared" si="145"/>
        <v>2.3454154361513675</v>
      </c>
      <c r="AQ152" s="188">
        <f t="shared" si="145"/>
        <v>2.3780055150650821</v>
      </c>
      <c r="AR152" s="188">
        <f t="shared" si="145"/>
        <v>2.418089015055898</v>
      </c>
      <c r="AS152" s="188">
        <f t="shared" si="145"/>
        <v>2.4573547299485079</v>
      </c>
      <c r="AT152" s="188">
        <f t="shared" si="145"/>
        <v>2.4958476593660817</v>
      </c>
      <c r="AU152" s="188">
        <f t="shared" si="145"/>
        <v>2.5336088750786305</v>
      </c>
      <c r="AV152" s="188">
        <f t="shared" si="145"/>
        <v>2.5732962781269415</v>
      </c>
    </row>
    <row r="153" spans="1:48">
      <c r="A153" s="4" t="s">
        <v>16</v>
      </c>
      <c r="B153" s="96" t="str">
        <f t="shared" si="146"/>
        <v>CEK</v>
      </c>
      <c r="C153" s="96" t="str">
        <f t="shared" si="146"/>
        <v>Commercial - Cooking</v>
      </c>
      <c r="D153" s="192"/>
      <c r="E153" s="192"/>
      <c r="F153" s="192"/>
      <c r="G153" s="192"/>
      <c r="H153" s="192"/>
      <c r="I153" s="191"/>
      <c r="J153" s="188">
        <f t="shared" si="144"/>
        <v>1.9788999513059524</v>
      </c>
      <c r="K153" s="188">
        <f t="shared" si="145"/>
        <v>1.9279783946854825</v>
      </c>
      <c r="L153" s="188">
        <f t="shared" si="145"/>
        <v>1.8813647367419324</v>
      </c>
      <c r="M153" s="188">
        <f t="shared" si="145"/>
        <v>1.8305063847469043</v>
      </c>
      <c r="N153" s="188">
        <f t="shared" si="145"/>
        <v>1.7774293605020526</v>
      </c>
      <c r="O153" s="188">
        <f t="shared" si="145"/>
        <v>1.7159413539708159</v>
      </c>
      <c r="P153" s="188">
        <f t="shared" si="145"/>
        <v>1.7270033329572956</v>
      </c>
      <c r="Q153" s="188">
        <f t="shared" si="145"/>
        <v>1.7399838271200814</v>
      </c>
      <c r="R153" s="188">
        <f t="shared" si="145"/>
        <v>1.7399838271200814</v>
      </c>
      <c r="S153" s="188">
        <f t="shared" si="145"/>
        <v>1.7139852742853889</v>
      </c>
      <c r="T153" s="188">
        <f t="shared" si="145"/>
        <v>1.6866655717158034</v>
      </c>
      <c r="U153" s="188">
        <f t="shared" si="145"/>
        <v>1.6582144725945134</v>
      </c>
      <c r="V153" s="188">
        <f t="shared" si="145"/>
        <v>1.6284273056918241</v>
      </c>
      <c r="W153" s="188">
        <f t="shared" si="145"/>
        <v>1.598208069227028</v>
      </c>
      <c r="X153" s="188">
        <f t="shared" si="145"/>
        <v>1.5694798051036787</v>
      </c>
      <c r="Y153" s="188">
        <f t="shared" si="145"/>
        <v>1.5393905392178375</v>
      </c>
      <c r="Z153" s="188">
        <f t="shared" si="145"/>
        <v>1.5088547251837179</v>
      </c>
      <c r="AA153" s="188">
        <f t="shared" si="145"/>
        <v>1.4776330426986648</v>
      </c>
      <c r="AB153" s="188">
        <f t="shared" si="145"/>
        <v>1.4456518997565122</v>
      </c>
      <c r="AC153" s="188">
        <f t="shared" si="145"/>
        <v>1.4636697708612407</v>
      </c>
      <c r="AD153" s="188">
        <f t="shared" si="145"/>
        <v>1.4811461577081622</v>
      </c>
      <c r="AE153" s="188">
        <f t="shared" si="145"/>
        <v>1.4999874483419853</v>
      </c>
      <c r="AF153" s="188">
        <f t="shared" si="145"/>
        <v>1.5198846731332722</v>
      </c>
      <c r="AG153" s="188">
        <f t="shared" si="145"/>
        <v>1.5407242936504155</v>
      </c>
      <c r="AH153" s="188">
        <f t="shared" si="145"/>
        <v>1.5621837406375003</v>
      </c>
      <c r="AI153" s="188">
        <f t="shared" si="145"/>
        <v>1.5841534441636795</v>
      </c>
      <c r="AJ153" s="188">
        <f t="shared" si="145"/>
        <v>1.6061433431876921</v>
      </c>
      <c r="AK153" s="188">
        <f t="shared" si="145"/>
        <v>1.6286692253942328</v>
      </c>
      <c r="AL153" s="188">
        <f t="shared" si="145"/>
        <v>1.6521844268454022</v>
      </c>
      <c r="AM153" s="188">
        <f t="shared" si="145"/>
        <v>1.6784339471066463</v>
      </c>
      <c r="AN153" s="188">
        <f t="shared" si="145"/>
        <v>1.7041776194727027</v>
      </c>
      <c r="AO153" s="188">
        <f t="shared" si="145"/>
        <v>1.7294417870300263</v>
      </c>
      <c r="AP153" s="188">
        <f t="shared" si="145"/>
        <v>1.7542506127200217</v>
      </c>
      <c r="AQ153" s="188">
        <f t="shared" si="145"/>
        <v>1.778626322464983</v>
      </c>
      <c r="AR153" s="188">
        <f t="shared" si="145"/>
        <v>1.8086067273582993</v>
      </c>
      <c r="AS153" s="188">
        <f t="shared" si="145"/>
        <v>1.8379754708855782</v>
      </c>
      <c r="AT153" s="188">
        <f t="shared" si="145"/>
        <v>1.8667662104600442</v>
      </c>
      <c r="AU153" s="188">
        <f t="shared" si="145"/>
        <v>1.8950096656619471</v>
      </c>
      <c r="AV153" s="188">
        <f t="shared" si="145"/>
        <v>1.9246938103305815</v>
      </c>
    </row>
    <row r="154" spans="1:48">
      <c r="A154" s="4" t="s">
        <v>16</v>
      </c>
      <c r="B154" s="96" t="str">
        <f t="shared" si="146"/>
        <v>CEL</v>
      </c>
      <c r="C154" s="96" t="str">
        <f t="shared" si="146"/>
        <v>Commercial - Lighting</v>
      </c>
      <c r="D154" s="192"/>
      <c r="E154" s="192"/>
      <c r="F154" s="192"/>
      <c r="G154" s="192"/>
      <c r="H154" s="192"/>
      <c r="I154" s="191"/>
      <c r="J154" s="188">
        <f t="shared" si="144"/>
        <v>24.308054381137783</v>
      </c>
      <c r="K154" s="188">
        <f t="shared" si="145"/>
        <v>23.654976442577553</v>
      </c>
      <c r="L154" s="188">
        <f t="shared" si="145"/>
        <v>23.054160292769623</v>
      </c>
      <c r="M154" s="188">
        <f t="shared" si="145"/>
        <v>22.400669897220691</v>
      </c>
      <c r="N154" s="188">
        <f t="shared" si="145"/>
        <v>21.71940237894831</v>
      </c>
      <c r="O154" s="188">
        <f t="shared" si="145"/>
        <v>20.934855954282256</v>
      </c>
      <c r="P154" s="188">
        <f t="shared" si="145"/>
        <v>21.06981449241373</v>
      </c>
      <c r="Q154" s="188">
        <f t="shared" si="145"/>
        <v>21.228179330981487</v>
      </c>
      <c r="R154" s="188">
        <f t="shared" si="145"/>
        <v>21.228179330981487</v>
      </c>
      <c r="S154" s="188">
        <f t="shared" si="145"/>
        <v>20.91099135870342</v>
      </c>
      <c r="T154" s="188">
        <f t="shared" si="145"/>
        <v>20.577685073681142</v>
      </c>
      <c r="U154" s="188">
        <f t="shared" si="145"/>
        <v>20.230575505823882</v>
      </c>
      <c r="V154" s="188">
        <f t="shared" si="145"/>
        <v>19.867165621825848</v>
      </c>
      <c r="W154" s="188">
        <f t="shared" si="145"/>
        <v>19.498484395643533</v>
      </c>
      <c r="X154" s="188">
        <f t="shared" si="145"/>
        <v>19.1479933547655</v>
      </c>
      <c r="Y154" s="188">
        <f t="shared" si="145"/>
        <v>18.78089779778011</v>
      </c>
      <c r="Z154" s="188">
        <f t="shared" si="145"/>
        <v>18.40835425672508</v>
      </c>
      <c r="AA154" s="188">
        <f t="shared" si="145"/>
        <v>18.027442972104318</v>
      </c>
      <c r="AB154" s="188">
        <f t="shared" si="145"/>
        <v>17.637266105512722</v>
      </c>
      <c r="AC154" s="188">
        <f t="shared" si="145"/>
        <v>17.857088033172101</v>
      </c>
      <c r="AD154" s="188">
        <f t="shared" si="145"/>
        <v>18.070303735675555</v>
      </c>
      <c r="AE154" s="188">
        <f t="shared" si="145"/>
        <v>18.300171559828808</v>
      </c>
      <c r="AF154" s="188">
        <f t="shared" si="145"/>
        <v>18.542922009272573</v>
      </c>
      <c r="AG154" s="188">
        <f t="shared" si="145"/>
        <v>18.797169890564515</v>
      </c>
      <c r="AH154" s="188">
        <f t="shared" si="145"/>
        <v>19.058979788958521</v>
      </c>
      <c r="AI154" s="188">
        <f t="shared" si="145"/>
        <v>19.327014927580557</v>
      </c>
      <c r="AJ154" s="188">
        <f t="shared" si="145"/>
        <v>19.595296455647713</v>
      </c>
      <c r="AK154" s="188">
        <f t="shared" si="145"/>
        <v>19.870117094561621</v>
      </c>
      <c r="AL154" s="188">
        <f t="shared" si="145"/>
        <v>20.157007642409873</v>
      </c>
      <c r="AM154" s="188">
        <f t="shared" si="145"/>
        <v>20.477257471616745</v>
      </c>
      <c r="AN154" s="188">
        <f t="shared" si="145"/>
        <v>20.791335847005552</v>
      </c>
      <c r="AO154" s="188">
        <f t="shared" si="145"/>
        <v>21.099564159933326</v>
      </c>
      <c r="AP154" s="188">
        <f t="shared" si="145"/>
        <v>21.402237203515554</v>
      </c>
      <c r="AQ154" s="188">
        <f t="shared" si="145"/>
        <v>21.69962613881528</v>
      </c>
      <c r="AR154" s="188">
        <f t="shared" si="145"/>
        <v>22.065393568127618</v>
      </c>
      <c r="AS154" s="188">
        <f t="shared" si="145"/>
        <v>22.423698596372951</v>
      </c>
      <c r="AT154" s="188">
        <f t="shared" si="145"/>
        <v>22.774951851278157</v>
      </c>
      <c r="AU154" s="188">
        <f t="shared" si="145"/>
        <v>23.119528118371907</v>
      </c>
      <c r="AV154" s="188">
        <f t="shared" si="145"/>
        <v>23.48168110881409</v>
      </c>
    </row>
    <row r="155" spans="1:48">
      <c r="A155" s="4" t="s">
        <v>16</v>
      </c>
      <c r="B155" s="96" t="str">
        <f t="shared" si="146"/>
        <v>CER</v>
      </c>
      <c r="C155" s="96" t="str">
        <f t="shared" si="146"/>
        <v>Commercial - Refrigeration</v>
      </c>
      <c r="D155" s="192"/>
      <c r="E155" s="192"/>
      <c r="F155" s="192"/>
      <c r="G155" s="192"/>
      <c r="H155" s="192"/>
      <c r="I155" s="191"/>
      <c r="J155" s="188">
        <f t="shared" si="144"/>
        <v>5.9132780747494111</v>
      </c>
      <c r="K155" s="188">
        <f t="shared" si="145"/>
        <v>5.7544076281624807</v>
      </c>
      <c r="L155" s="188">
        <f t="shared" si="145"/>
        <v>5.6082506009521316</v>
      </c>
      <c r="M155" s="188">
        <f t="shared" si="145"/>
        <v>5.4492798183683409</v>
      </c>
      <c r="N155" s="188">
        <f t="shared" si="145"/>
        <v>5.2835518577642615</v>
      </c>
      <c r="O155" s="188">
        <f t="shared" si="145"/>
        <v>5.0926998422610916</v>
      </c>
      <c r="P155" s="188">
        <f t="shared" si="145"/>
        <v>5.1255304157006645</v>
      </c>
      <c r="Q155" s="188">
        <f t="shared" si="145"/>
        <v>5.1640549028122535</v>
      </c>
      <c r="R155" s="188">
        <f t="shared" si="145"/>
        <v>5.1640549028122535</v>
      </c>
      <c r="S155" s="188">
        <f t="shared" si="145"/>
        <v>5.086894441812893</v>
      </c>
      <c r="T155" s="188">
        <f t="shared" si="145"/>
        <v>5.00581297323893</v>
      </c>
      <c r="U155" s="188">
        <f t="shared" si="145"/>
        <v>4.9213736608627494</v>
      </c>
      <c r="V155" s="188">
        <f t="shared" si="145"/>
        <v>4.8329690660112465</v>
      </c>
      <c r="W155" s="188">
        <f t="shared" si="145"/>
        <v>4.7432821426083054</v>
      </c>
      <c r="X155" s="188">
        <f t="shared" si="145"/>
        <v>4.6580202390876204</v>
      </c>
      <c r="Y155" s="188">
        <f t="shared" si="145"/>
        <v>4.568719052146716</v>
      </c>
      <c r="Z155" s="188">
        <f t="shared" si="145"/>
        <v>4.4780925660170974</v>
      </c>
      <c r="AA155" s="188">
        <f t="shared" si="145"/>
        <v>4.385430507900244</v>
      </c>
      <c r="AB155" s="188">
        <f t="shared" si="145"/>
        <v>4.2905144659038568</v>
      </c>
      <c r="AC155" s="188">
        <f t="shared" si="145"/>
        <v>4.343989259270538</v>
      </c>
      <c r="AD155" s="188">
        <f t="shared" si="145"/>
        <v>4.3958569949205089</v>
      </c>
      <c r="AE155" s="188">
        <f t="shared" si="145"/>
        <v>4.4517755947122923</v>
      </c>
      <c r="AF155" s="188">
        <f t="shared" si="145"/>
        <v>4.5108280753355565</v>
      </c>
      <c r="AG155" s="188">
        <f t="shared" si="145"/>
        <v>4.5726774688913707</v>
      </c>
      <c r="AH155" s="188">
        <f t="shared" si="145"/>
        <v>4.636366430074828</v>
      </c>
      <c r="AI155" s="188">
        <f t="shared" si="145"/>
        <v>4.7015697690021092</v>
      </c>
      <c r="AJ155" s="188">
        <f t="shared" si="145"/>
        <v>4.7668330456471866</v>
      </c>
      <c r="AK155" s="188">
        <f t="shared" si="145"/>
        <v>4.83368705350391</v>
      </c>
      <c r="AL155" s="188">
        <f t="shared" si="145"/>
        <v>4.9034772374422975</v>
      </c>
      <c r="AM155" s="188">
        <f t="shared" si="145"/>
        <v>4.9813825384507027</v>
      </c>
      <c r="AN155" s="188">
        <f t="shared" si="145"/>
        <v>5.0577865460203375</v>
      </c>
      <c r="AO155" s="188">
        <f t="shared" si="145"/>
        <v>5.1327674431450001</v>
      </c>
      <c r="AP155" s="188">
        <f t="shared" si="145"/>
        <v>5.2063969424199925</v>
      </c>
      <c r="AQ155" s="188">
        <f t="shared" si="145"/>
        <v>5.2787410076095744</v>
      </c>
      <c r="AR155" s="188">
        <f t="shared" si="145"/>
        <v>5.3677191087071447</v>
      </c>
      <c r="AS155" s="188">
        <f t="shared" si="145"/>
        <v>5.4548818751867056</v>
      </c>
      <c r="AT155" s="188">
        <f t="shared" si="145"/>
        <v>5.5403291980513059</v>
      </c>
      <c r="AU155" s="188">
        <f t="shared" si="145"/>
        <v>5.6241522491822744</v>
      </c>
      <c r="AV155" s="188">
        <f t="shared" si="145"/>
        <v>5.712251086897087</v>
      </c>
    </row>
    <row r="156" spans="1:48">
      <c r="A156" s="4" t="s">
        <v>16</v>
      </c>
      <c r="B156" s="96" t="str">
        <f t="shared" si="146"/>
        <v>CEW</v>
      </c>
      <c r="C156" s="96" t="str">
        <f t="shared" si="146"/>
        <v>Commercial - Water Heating</v>
      </c>
      <c r="D156" s="192"/>
      <c r="E156" s="192"/>
      <c r="F156" s="192"/>
      <c r="G156" s="192"/>
      <c r="H156" s="192"/>
      <c r="I156" s="191"/>
      <c r="J156" s="188">
        <f t="shared" si="144"/>
        <v>1.9366218046150063</v>
      </c>
      <c r="K156" s="188">
        <f t="shared" si="145"/>
        <v>2.0747560247060011</v>
      </c>
      <c r="L156" s="188">
        <f t="shared" si="145"/>
        <v>2.2215693132915648</v>
      </c>
      <c r="M156" s="188">
        <f t="shared" si="145"/>
        <v>2.3678686704112906</v>
      </c>
      <c r="N156" s="188">
        <f t="shared" si="145"/>
        <v>2.5155670238606285</v>
      </c>
      <c r="O156" s="188">
        <f t="shared" si="145"/>
        <v>2.6547723439938684</v>
      </c>
      <c r="P156" s="188">
        <f t="shared" si="145"/>
        <v>2.6718865861649017</v>
      </c>
      <c r="Q156" s="188">
        <f t="shared" si="145"/>
        <v>2.691969007300679</v>
      </c>
      <c r="R156" s="188">
        <f t="shared" si="145"/>
        <v>2.691969007300679</v>
      </c>
      <c r="S156" s="188">
        <f t="shared" si="145"/>
        <v>2.6517460481128916</v>
      </c>
      <c r="T156" s="188">
        <f t="shared" si="145"/>
        <v>2.6094791077771742</v>
      </c>
      <c r="U156" s="188">
        <f t="shared" si="145"/>
        <v>2.5654617578085146</v>
      </c>
      <c r="V156" s="188">
        <f t="shared" si="145"/>
        <v>2.5193773466389855</v>
      </c>
      <c r="W156" s="188">
        <f t="shared" si="145"/>
        <v>2.4726244707101519</v>
      </c>
      <c r="X156" s="188">
        <f t="shared" si="145"/>
        <v>2.42817831239062</v>
      </c>
      <c r="Y156" s="188">
        <f t="shared" si="145"/>
        <v>2.3816265169344635</v>
      </c>
      <c r="Z156" s="188">
        <f t="shared" si="145"/>
        <v>2.3343838565652559</v>
      </c>
      <c r="AA156" s="188">
        <f t="shared" si="145"/>
        <v>2.286080073337192</v>
      </c>
      <c r="AB156" s="188">
        <f t="shared" si="145"/>
        <v>2.2366013113645482</v>
      </c>
      <c r="AC156" s="188">
        <f t="shared" si="145"/>
        <v>2.2644771742521632</v>
      </c>
      <c r="AD156" s="188">
        <f t="shared" si="145"/>
        <v>2.2915152943876693</v>
      </c>
      <c r="AE156" s="188">
        <f t="shared" si="145"/>
        <v>2.3206650885715296</v>
      </c>
      <c r="AF156" s="188">
        <f t="shared" si="145"/>
        <v>2.3514485427821894</v>
      </c>
      <c r="AG156" s="188">
        <f t="shared" si="145"/>
        <v>2.3836899991001537</v>
      </c>
      <c r="AH156" s="188">
        <f t="shared" si="145"/>
        <v>2.4168904032088854</v>
      </c>
      <c r="AI156" s="188">
        <f t="shared" si="145"/>
        <v>2.4508802369477123</v>
      </c>
      <c r="AJ156" s="188">
        <f t="shared" si="145"/>
        <v>2.484901315605835</v>
      </c>
      <c r="AK156" s="188">
        <f t="shared" si="145"/>
        <v>2.5197516261759501</v>
      </c>
      <c r="AL156" s="188">
        <f t="shared" si="145"/>
        <v>2.5561325353087403</v>
      </c>
      <c r="AM156" s="188">
        <f t="shared" si="145"/>
        <v>2.5967437719756568</v>
      </c>
      <c r="AN156" s="188">
        <f t="shared" si="145"/>
        <v>2.6365723997268868</v>
      </c>
      <c r="AO156" s="188">
        <f t="shared" si="145"/>
        <v>2.6756591745575093</v>
      </c>
      <c r="AP156" s="188">
        <f t="shared" si="145"/>
        <v>2.7140414795100387</v>
      </c>
      <c r="AQ156" s="188">
        <f t="shared" si="145"/>
        <v>2.7517537008201649</v>
      </c>
      <c r="AR156" s="188">
        <f t="shared" si="145"/>
        <v>2.7981370749304371</v>
      </c>
      <c r="AS156" s="188">
        <f t="shared" si="145"/>
        <v>2.84357413367003</v>
      </c>
      <c r="AT156" s="188">
        <f t="shared" si="145"/>
        <v>2.8881169491972338</v>
      </c>
      <c r="AU156" s="188">
        <f t="shared" si="145"/>
        <v>2.9318130484813563</v>
      </c>
      <c r="AV156" s="188">
        <f t="shared" si="145"/>
        <v>2.9777380715825505</v>
      </c>
    </row>
    <row r="157" spans="1:48">
      <c r="A157" s="4" t="s">
        <v>16</v>
      </c>
      <c r="B157" s="96" t="str">
        <f t="shared" si="146"/>
        <v>CEG</v>
      </c>
      <c r="C157" s="96" t="str">
        <f t="shared" si="146"/>
        <v>Commercial - Public lights</v>
      </c>
      <c r="D157" s="192"/>
      <c r="E157" s="192"/>
      <c r="F157" s="192"/>
      <c r="G157" s="192"/>
      <c r="H157" s="192"/>
      <c r="I157" s="191"/>
      <c r="J157" s="188">
        <f t="shared" si="144"/>
        <v>10.30055287377321</v>
      </c>
      <c r="K157" s="188">
        <f t="shared" si="145"/>
        <v>10.023810698880988</v>
      </c>
      <c r="L157" s="188">
        <f t="shared" si="145"/>
        <v>9.7692144888562282</v>
      </c>
      <c r="M157" s="188">
        <f t="shared" si="145"/>
        <v>9.4922975350634147</v>
      </c>
      <c r="N157" s="188">
        <f t="shared" si="145"/>
        <v>9.2036100085703758</v>
      </c>
      <c r="O157" s="188">
        <f t="shared" si="145"/>
        <v>8.8711579824850144</v>
      </c>
      <c r="P157" s="188">
        <f t="shared" si="145"/>
        <v>8.9283467453532221</v>
      </c>
      <c r="Q157" s="188">
        <f t="shared" si="145"/>
        <v>8.995453942310931</v>
      </c>
      <c r="R157" s="188">
        <f t="shared" si="145"/>
        <v>8.995453942310931</v>
      </c>
      <c r="S157" s="188">
        <f t="shared" si="145"/>
        <v>8.9064866037315635</v>
      </c>
      <c r="T157" s="188">
        <f t="shared" si="145"/>
        <v>8.8115940418649217</v>
      </c>
      <c r="U157" s="188">
        <f t="shared" si="145"/>
        <v>8.7117357729933609</v>
      </c>
      <c r="V157" s="188">
        <f t="shared" si="145"/>
        <v>8.6058062983504389</v>
      </c>
      <c r="W157" s="188">
        <f t="shared" si="145"/>
        <v>8.4985659341647377</v>
      </c>
      <c r="X157" s="188">
        <f t="shared" si="145"/>
        <v>8.4003494140227186</v>
      </c>
      <c r="Y157" s="188">
        <f t="shared" si="145"/>
        <v>8.2960467074499018</v>
      </c>
      <c r="Z157" s="188">
        <f t="shared" si="145"/>
        <v>8.1905789141258705</v>
      </c>
      <c r="AA157" s="188">
        <f t="shared" si="145"/>
        <v>8.0827029228202978</v>
      </c>
      <c r="AB157" s="188">
        <f t="shared" si="145"/>
        <v>7.9720557571069373</v>
      </c>
      <c r="AC157" s="188">
        <f t="shared" si="145"/>
        <v>8.0714154114576537</v>
      </c>
      <c r="AD157" s="188">
        <f t="shared" si="145"/>
        <v>8.1677890477388999</v>
      </c>
      <c r="AE157" s="188">
        <f t="shared" si="145"/>
        <v>8.271689453842189</v>
      </c>
      <c r="AF157" s="188">
        <f t="shared" si="145"/>
        <v>8.3814128149601359</v>
      </c>
      <c r="AG157" s="188">
        <f t="shared" si="145"/>
        <v>8.4963330227553868</v>
      </c>
      <c r="AH157" s="188">
        <f t="shared" si="145"/>
        <v>8.6146712672017376</v>
      </c>
      <c r="AI157" s="188">
        <f t="shared" si="145"/>
        <v>8.7358233242822223</v>
      </c>
      <c r="AJ157" s="188">
        <f t="shared" si="145"/>
        <v>8.8570867495522378</v>
      </c>
      <c r="AK157" s="188">
        <f t="shared" si="145"/>
        <v>8.9813058571802991</v>
      </c>
      <c r="AL157" s="188">
        <f t="shared" si="145"/>
        <v>9.1109805715011518</v>
      </c>
      <c r="AM157" s="188">
        <f t="shared" si="145"/>
        <v>9.2557337027045854</v>
      </c>
      <c r="AN157" s="188">
        <f t="shared" si="145"/>
        <v>9.3976973327661923</v>
      </c>
      <c r="AO157" s="188">
        <f t="shared" si="145"/>
        <v>9.5370167307884959</v>
      </c>
      <c r="AP157" s="188">
        <f t="shared" si="145"/>
        <v>9.6738251434515306</v>
      </c>
      <c r="AQ157" s="188">
        <f t="shared" si="145"/>
        <v>9.8082451357322569</v>
      </c>
      <c r="AR157" s="188">
        <f t="shared" si="145"/>
        <v>9.9735722518038479</v>
      </c>
      <c r="AS157" s="188">
        <f t="shared" si="145"/>
        <v>10.135526357737008</v>
      </c>
      <c r="AT157" s="188">
        <f t="shared" si="145"/>
        <v>10.294293057531506</v>
      </c>
      <c r="AU157" s="188">
        <f t="shared" si="145"/>
        <v>10.450041754490188</v>
      </c>
      <c r="AV157" s="188">
        <f t="shared" si="145"/>
        <v>10.613735141840381</v>
      </c>
    </row>
    <row r="158" spans="1:48">
      <c r="A158" s="4" t="s">
        <v>16</v>
      </c>
      <c r="B158" s="96" t="str">
        <f t="shared" si="146"/>
        <v>CET</v>
      </c>
      <c r="C158" s="96" t="str">
        <f t="shared" si="146"/>
        <v>Commercial - Public Water</v>
      </c>
      <c r="D158" s="192"/>
      <c r="E158" s="192"/>
      <c r="F158" s="192"/>
      <c r="G158" s="192"/>
      <c r="H158" s="192"/>
      <c r="I158" s="191"/>
      <c r="J158" s="188">
        <f t="shared" si="144"/>
        <v>3.5593512487513528</v>
      </c>
      <c r="K158" s="188">
        <f t="shared" si="145"/>
        <v>3.4637231190911666</v>
      </c>
      <c r="L158" s="188">
        <f t="shared" si="145"/>
        <v>3.3757475172779561</v>
      </c>
      <c r="M158" s="188">
        <f t="shared" si="145"/>
        <v>3.2800589928500612</v>
      </c>
      <c r="N158" s="188">
        <f t="shared" si="145"/>
        <v>3.1803031525069465</v>
      </c>
      <c r="O158" s="188">
        <f t="shared" ref="K158:AV159" si="148">O99*O$34/1000</f>
        <v>3.0654245097100388</v>
      </c>
      <c r="P158" s="188">
        <f t="shared" si="148"/>
        <v>3.0851860600873766</v>
      </c>
      <c r="Q158" s="188">
        <f t="shared" si="148"/>
        <v>3.1083749207455065</v>
      </c>
      <c r="R158" s="188">
        <f t="shared" si="148"/>
        <v>3.1083749207455065</v>
      </c>
      <c r="S158" s="188">
        <f t="shared" si="148"/>
        <v>3.0776322983298847</v>
      </c>
      <c r="T158" s="188">
        <f t="shared" si="148"/>
        <v>3.044842217766615</v>
      </c>
      <c r="U158" s="188">
        <f t="shared" si="148"/>
        <v>3.0103362394602344</v>
      </c>
      <c r="V158" s="188">
        <f t="shared" si="148"/>
        <v>2.973732358826811</v>
      </c>
      <c r="W158" s="188">
        <f t="shared" si="148"/>
        <v>2.936675500922338</v>
      </c>
      <c r="X158" s="188">
        <f t="shared" si="148"/>
        <v>2.9027368281249188</v>
      </c>
      <c r="Y158" s="188">
        <f t="shared" si="148"/>
        <v>2.8666950764405636</v>
      </c>
      <c r="Z158" s="188">
        <f t="shared" si="148"/>
        <v>2.8302507295718859</v>
      </c>
      <c r="AA158" s="188">
        <f t="shared" si="148"/>
        <v>2.7929742310121419</v>
      </c>
      <c r="AB158" s="188">
        <f t="shared" si="148"/>
        <v>2.7547401544262726</v>
      </c>
      <c r="AC158" s="188">
        <f t="shared" si="148"/>
        <v>2.7890738367171699</v>
      </c>
      <c r="AD158" s="188">
        <f t="shared" si="148"/>
        <v>2.8223757018546975</v>
      </c>
      <c r="AE158" s="188">
        <f t="shared" si="148"/>
        <v>2.8582784387991516</v>
      </c>
      <c r="AF158" s="188">
        <f t="shared" si="148"/>
        <v>2.8961932951372749</v>
      </c>
      <c r="AG158" s="188">
        <f t="shared" si="148"/>
        <v>2.9359039194246632</v>
      </c>
      <c r="AH158" s="188">
        <f t="shared" si="148"/>
        <v>2.9767956446851227</v>
      </c>
      <c r="AI158" s="188">
        <f t="shared" si="148"/>
        <v>3.0186596815909641</v>
      </c>
      <c r="AJ158" s="188">
        <f t="shared" si="148"/>
        <v>3.0605622017228367</v>
      </c>
      <c r="AK158" s="188">
        <f t="shared" si="148"/>
        <v>3.1034860565171236</v>
      </c>
      <c r="AL158" s="188">
        <f t="shared" si="148"/>
        <v>3.1482950936635277</v>
      </c>
      <c r="AM158" s="188">
        <f t="shared" si="148"/>
        <v>3.1983144707419613</v>
      </c>
      <c r="AN158" s="188">
        <f t="shared" si="148"/>
        <v>3.2473699369998581</v>
      </c>
      <c r="AO158" s="188">
        <f t="shared" si="148"/>
        <v>3.2955116901079435</v>
      </c>
      <c r="AP158" s="188">
        <f t="shared" si="148"/>
        <v>3.3427857733944548</v>
      </c>
      <c r="AQ158" s="188">
        <f t="shared" si="148"/>
        <v>3.3892345391301024</v>
      </c>
      <c r="AR158" s="188">
        <f t="shared" si="148"/>
        <v>3.4463632470987959</v>
      </c>
      <c r="AS158" s="188">
        <f t="shared" si="148"/>
        <v>3.502326412984905</v>
      </c>
      <c r="AT158" s="188">
        <f t="shared" si="148"/>
        <v>3.5571881721641163</v>
      </c>
      <c r="AU158" s="188">
        <f t="shared" si="148"/>
        <v>3.6110070618688406</v>
      </c>
      <c r="AV158" s="188">
        <f t="shared" si="148"/>
        <v>3.6675712356386527</v>
      </c>
    </row>
    <row r="159" spans="1:48">
      <c r="A159" s="4" t="s">
        <v>16</v>
      </c>
      <c r="B159" s="96" t="str">
        <f t="shared" si="146"/>
        <v>CEO</v>
      </c>
      <c r="C159" s="96" t="str">
        <f t="shared" si="146"/>
        <v>Commercial - Other</v>
      </c>
      <c r="D159" s="192"/>
      <c r="E159" s="192"/>
      <c r="F159" s="192"/>
      <c r="G159" s="192"/>
      <c r="H159" s="192"/>
      <c r="I159" s="191"/>
      <c r="J159" s="188">
        <f t="shared" si="144"/>
        <v>3.7520368714157861</v>
      </c>
      <c r="K159" s="188">
        <f t="shared" si="148"/>
        <v>3.6836958161690943</v>
      </c>
      <c r="L159" s="188">
        <f t="shared" si="148"/>
        <v>3.6241923983997872</v>
      </c>
      <c r="M159" s="188">
        <f t="shared" si="148"/>
        <v>3.5571871958880834</v>
      </c>
      <c r="N159" s="188">
        <f t="shared" si="148"/>
        <v>3.4865111136726998</v>
      </c>
      <c r="O159" s="188">
        <f t="shared" si="148"/>
        <v>3.3998483491588085</v>
      </c>
      <c r="P159" s="188">
        <f t="shared" si="148"/>
        <v>3.4217657945939819</v>
      </c>
      <c r="Q159" s="188">
        <f t="shared" si="148"/>
        <v>3.4474844542372667</v>
      </c>
      <c r="R159" s="188">
        <f t="shared" si="148"/>
        <v>3.4474844542372667</v>
      </c>
      <c r="S159" s="188">
        <f t="shared" si="148"/>
        <v>3.3959727072122279</v>
      </c>
      <c r="T159" s="188">
        <f t="shared" si="148"/>
        <v>3.3418433248380701</v>
      </c>
      <c r="U159" s="188">
        <f t="shared" si="148"/>
        <v>3.2854722710398545</v>
      </c>
      <c r="V159" s="188">
        <f t="shared" si="148"/>
        <v>3.2264540242997342</v>
      </c>
      <c r="W159" s="188">
        <f t="shared" si="148"/>
        <v>3.1665797046034765</v>
      </c>
      <c r="X159" s="188">
        <f t="shared" si="148"/>
        <v>3.1096594951056709</v>
      </c>
      <c r="Y159" s="188">
        <f t="shared" si="148"/>
        <v>3.0500426901882705</v>
      </c>
      <c r="Z159" s="188">
        <f t="shared" si="148"/>
        <v>2.9895411254384716</v>
      </c>
      <c r="AA159" s="188">
        <f t="shared" si="148"/>
        <v>2.9276806280449379</v>
      </c>
      <c r="AB159" s="188">
        <f t="shared" si="148"/>
        <v>2.8643153878608993</v>
      </c>
      <c r="AC159" s="188">
        <f t="shared" si="148"/>
        <v>2.9000147602135797</v>
      </c>
      <c r="AD159" s="188">
        <f t="shared" si="148"/>
        <v>2.9346412728465854</v>
      </c>
      <c r="AE159" s="188">
        <f t="shared" si="148"/>
        <v>2.9719721121023621</v>
      </c>
      <c r="AF159" s="188">
        <f t="shared" si="148"/>
        <v>3.0113951067769507</v>
      </c>
      <c r="AG159" s="188">
        <f t="shared" si="148"/>
        <v>3.0526852996197018</v>
      </c>
      <c r="AH159" s="188">
        <f t="shared" si="148"/>
        <v>3.0952035740607649</v>
      </c>
      <c r="AI159" s="188">
        <f t="shared" si="148"/>
        <v>3.138732835764344</v>
      </c>
      <c r="AJ159" s="188">
        <f t="shared" si="148"/>
        <v>3.1823021114403183</v>
      </c>
      <c r="AK159" s="188">
        <f t="shared" si="148"/>
        <v>3.2269333473832189</v>
      </c>
      <c r="AL159" s="188">
        <f t="shared" si="148"/>
        <v>3.2735247525317046</v>
      </c>
      <c r="AM159" s="188">
        <f t="shared" si="148"/>
        <v>3.3255337491794532</v>
      </c>
      <c r="AN159" s="188">
        <f t="shared" si="148"/>
        <v>3.3765404935489411</v>
      </c>
      <c r="AO159" s="188">
        <f t="shared" si="148"/>
        <v>3.4265971800224455</v>
      </c>
      <c r="AP159" s="188">
        <f t="shared" si="148"/>
        <v>3.4757516833925735</v>
      </c>
      <c r="AQ159" s="188">
        <f t="shared" si="148"/>
        <v>3.5240480405752965</v>
      </c>
      <c r="AR159" s="188">
        <f t="shared" si="148"/>
        <v>3.5834491557986015</v>
      </c>
      <c r="AS159" s="188">
        <f t="shared" si="148"/>
        <v>3.6416383671996959</v>
      </c>
      <c r="AT159" s="188">
        <f t="shared" si="148"/>
        <v>3.6986823612655764</v>
      </c>
      <c r="AU159" s="188">
        <f t="shared" si="148"/>
        <v>3.7546420036627501</v>
      </c>
      <c r="AV159" s="188">
        <f t="shared" si="148"/>
        <v>3.8134561292238067</v>
      </c>
    </row>
    <row r="160" spans="1:48">
      <c r="A160" s="4" t="s">
        <v>16</v>
      </c>
      <c r="B160" s="192"/>
      <c r="C160" s="192"/>
      <c r="D160" s="192"/>
      <c r="E160" s="192"/>
      <c r="F160" s="192"/>
      <c r="G160" s="192"/>
      <c r="H160" s="192"/>
      <c r="I160" s="191"/>
      <c r="K160" s="96"/>
    </row>
    <row r="161" spans="1:48" ht="15.75" thickBot="1">
      <c r="A161" s="4" t="s">
        <v>16</v>
      </c>
      <c r="B161" s="94" t="s">
        <v>491</v>
      </c>
      <c r="C161" s="94"/>
      <c r="D161" s="94"/>
      <c r="E161" s="94"/>
      <c r="F161" s="94"/>
      <c r="G161" s="94"/>
      <c r="H161" s="94"/>
      <c r="I161" s="184"/>
      <c r="K161" s="96"/>
    </row>
    <row r="162" spans="1:48">
      <c r="A162" s="4" t="s">
        <v>16</v>
      </c>
      <c r="B162" s="96" t="str">
        <f t="shared" ref="B162:B170" si="149">B70</f>
        <v>CEC</v>
      </c>
      <c r="C162" s="96" t="str">
        <f t="shared" ref="C162:C170" si="150">C138</f>
        <v>Commercial - Cooling</v>
      </c>
      <c r="E162" s="123"/>
      <c r="F162" s="123"/>
      <c r="I162" s="179"/>
      <c r="J162" s="188">
        <f t="shared" ref="J162:AV162" si="151">J$35*J70/1000</f>
        <v>111.73151548310749</v>
      </c>
      <c r="K162" s="188">
        <f t="shared" si="151"/>
        <v>108.72965500263481</v>
      </c>
      <c r="L162" s="188">
        <f t="shared" si="151"/>
        <v>105.96801485274044</v>
      </c>
      <c r="M162" s="188">
        <f t="shared" si="151"/>
        <v>102.9642585214647</v>
      </c>
      <c r="N162" s="188">
        <f t="shared" si="151"/>
        <v>99.832825167215901</v>
      </c>
      <c r="O162" s="188">
        <f t="shared" si="151"/>
        <v>96.226672259198224</v>
      </c>
      <c r="P162" s="188">
        <f t="shared" si="151"/>
        <v>95.264405536606233</v>
      </c>
      <c r="Q162" s="188">
        <f>Q$35*Q70/1000</f>
        <v>94.302138814014256</v>
      </c>
      <c r="R162" s="188">
        <f t="shared" si="151"/>
        <v>93.339872091422265</v>
      </c>
      <c r="S162" s="188">
        <f t="shared" si="151"/>
        <v>90.068165234609538</v>
      </c>
      <c r="T162" s="188">
        <f t="shared" si="151"/>
        <v>86.844571713926385</v>
      </c>
      <c r="U162" s="188">
        <f t="shared" si="151"/>
        <v>83.669091529372849</v>
      </c>
      <c r="V162" s="188">
        <f t="shared" si="151"/>
        <v>80.541724680948903</v>
      </c>
      <c r="W162" s="188">
        <f t="shared" si="151"/>
        <v>77.462471168654545</v>
      </c>
      <c r="X162" s="188">
        <f t="shared" si="151"/>
        <v>74.431330992489819</v>
      </c>
      <c r="Y162" s="188">
        <f t="shared" si="151"/>
        <v>71.448304152454682</v>
      </c>
      <c r="Z162" s="188">
        <f t="shared" si="151"/>
        <v>68.513390648549134</v>
      </c>
      <c r="AA162" s="188">
        <f t="shared" si="151"/>
        <v>65.626590480773189</v>
      </c>
      <c r="AB162" s="188">
        <f t="shared" si="151"/>
        <v>62.787903649126832</v>
      </c>
      <c r="AC162" s="188">
        <f t="shared" si="151"/>
        <v>62.06620360718285</v>
      </c>
      <c r="AD162" s="188">
        <f t="shared" si="151"/>
        <v>61.34450356523886</v>
      </c>
      <c r="AE162" s="188">
        <f t="shared" si="151"/>
        <v>60.62280352329487</v>
      </c>
      <c r="AF162" s="188">
        <f t="shared" si="151"/>
        <v>59.90110348135088</v>
      </c>
      <c r="AG162" s="188">
        <f t="shared" si="151"/>
        <v>59.179403439406897</v>
      </c>
      <c r="AH162" s="188">
        <f t="shared" si="151"/>
        <v>58.457703397462907</v>
      </c>
      <c r="AI162" s="188">
        <f t="shared" si="151"/>
        <v>57.736003355518925</v>
      </c>
      <c r="AJ162" s="188">
        <f t="shared" si="151"/>
        <v>57.014303313574928</v>
      </c>
      <c r="AK162" s="188">
        <f t="shared" si="151"/>
        <v>56.292603271630945</v>
      </c>
      <c r="AL162" s="188">
        <f t="shared" si="151"/>
        <v>55.570903229686955</v>
      </c>
      <c r="AM162" s="188">
        <f t="shared" si="151"/>
        <v>54.849203187742972</v>
      </c>
      <c r="AN162" s="188">
        <f t="shared" si="151"/>
        <v>54.127503145798983</v>
      </c>
      <c r="AO162" s="188">
        <f t="shared" si="151"/>
        <v>53.405803103854986</v>
      </c>
      <c r="AP162" s="188">
        <f t="shared" si="151"/>
        <v>52.684103061911003</v>
      </c>
      <c r="AQ162" s="188">
        <f t="shared" si="151"/>
        <v>51.962403019967013</v>
      </c>
      <c r="AR162" s="188">
        <f t="shared" si="151"/>
        <v>51.240702978023045</v>
      </c>
      <c r="AS162" s="188">
        <f t="shared" si="151"/>
        <v>50.51900293607904</v>
      </c>
      <c r="AT162" s="188">
        <f t="shared" si="151"/>
        <v>49.797302894135058</v>
      </c>
      <c r="AU162" s="188">
        <f t="shared" si="151"/>
        <v>49.075602852191075</v>
      </c>
      <c r="AV162" s="188">
        <f t="shared" si="151"/>
        <v>48.353902810247078</v>
      </c>
    </row>
    <row r="163" spans="1:48">
      <c r="A163" s="4" t="s">
        <v>16</v>
      </c>
      <c r="B163" s="96" t="str">
        <f t="shared" si="149"/>
        <v>CEH</v>
      </c>
      <c r="C163" s="96" t="str">
        <f t="shared" si="150"/>
        <v>Commercial - Space Heating</v>
      </c>
      <c r="E163" s="123"/>
      <c r="F163" s="123"/>
      <c r="I163" s="179"/>
      <c r="J163" s="188">
        <f t="shared" ref="J163:AV163" si="152">J$35*J71/1000</f>
        <v>6.2814039260015191</v>
      </c>
      <c r="K163" s="188">
        <f t="shared" si="152"/>
        <v>6.8385166802914092</v>
      </c>
      <c r="L163" s="188">
        <f t="shared" si="152"/>
        <v>7.4263698316800602</v>
      </c>
      <c r="M163" s="188">
        <f t="shared" si="152"/>
        <v>8.0146683659086371</v>
      </c>
      <c r="N163" s="188">
        <f t="shared" si="152"/>
        <v>8.609576325977141</v>
      </c>
      <c r="O163" s="188">
        <f t="shared" si="152"/>
        <v>9.1767853690947074</v>
      </c>
      <c r="P163" s="188">
        <f t="shared" si="152"/>
        <v>9.0850175154037593</v>
      </c>
      <c r="Q163" s="188">
        <f t="shared" si="152"/>
        <v>8.9932496617128113</v>
      </c>
      <c r="R163" s="188">
        <f t="shared" si="152"/>
        <v>8.9014818080218649</v>
      </c>
      <c r="S163" s="188">
        <f t="shared" si="152"/>
        <v>8.5894711054726454</v>
      </c>
      <c r="T163" s="188">
        <f t="shared" si="152"/>
        <v>8.282048795607972</v>
      </c>
      <c r="U163" s="188">
        <f t="shared" si="152"/>
        <v>7.9792148784278476</v>
      </c>
      <c r="V163" s="188">
        <f t="shared" si="152"/>
        <v>7.6809693539322685</v>
      </c>
      <c r="W163" s="188">
        <f t="shared" si="152"/>
        <v>7.3873122221212393</v>
      </c>
      <c r="X163" s="188">
        <f t="shared" si="152"/>
        <v>7.0982434829947563</v>
      </c>
      <c r="Y163" s="188">
        <f t="shared" si="152"/>
        <v>6.8137631365528222</v>
      </c>
      <c r="Z163" s="188">
        <f t="shared" si="152"/>
        <v>6.5338711827954334</v>
      </c>
      <c r="AA163" s="188">
        <f t="shared" si="152"/>
        <v>6.2585676217225918</v>
      </c>
      <c r="AB163" s="188">
        <f t="shared" si="152"/>
        <v>5.9878524533342947</v>
      </c>
      <c r="AC163" s="188">
        <f t="shared" si="152"/>
        <v>5.9190265630660841</v>
      </c>
      <c r="AD163" s="188">
        <f t="shared" si="152"/>
        <v>5.8502006727978744</v>
      </c>
      <c r="AE163" s="188">
        <f t="shared" si="152"/>
        <v>5.7813747825296629</v>
      </c>
      <c r="AF163" s="188">
        <f t="shared" si="152"/>
        <v>5.7125488922614531</v>
      </c>
      <c r="AG163" s="188">
        <f t="shared" si="152"/>
        <v>5.6437230019932434</v>
      </c>
      <c r="AH163" s="188">
        <f t="shared" si="152"/>
        <v>5.5748971117250319</v>
      </c>
      <c r="AI163" s="188">
        <f t="shared" si="152"/>
        <v>5.5060712214568222</v>
      </c>
      <c r="AJ163" s="188">
        <f t="shared" si="152"/>
        <v>5.4372453311886115</v>
      </c>
      <c r="AK163" s="188">
        <f t="shared" si="152"/>
        <v>5.3684194409204009</v>
      </c>
      <c r="AL163" s="188">
        <f t="shared" si="152"/>
        <v>5.2995935506521912</v>
      </c>
      <c r="AM163" s="188">
        <f t="shared" si="152"/>
        <v>5.2307676603839806</v>
      </c>
      <c r="AN163" s="188">
        <f t="shared" si="152"/>
        <v>5.1619417701157699</v>
      </c>
      <c r="AO163" s="188">
        <f t="shared" si="152"/>
        <v>5.0931158798475593</v>
      </c>
      <c r="AP163" s="188">
        <f t="shared" si="152"/>
        <v>5.0242899895793487</v>
      </c>
      <c r="AQ163" s="188">
        <f t="shared" si="152"/>
        <v>4.955464099311139</v>
      </c>
      <c r="AR163" s="188">
        <f t="shared" si="152"/>
        <v>4.8866382090429301</v>
      </c>
      <c r="AS163" s="188">
        <f t="shared" si="152"/>
        <v>4.8178123187747186</v>
      </c>
      <c r="AT163" s="188">
        <f t="shared" si="152"/>
        <v>4.748986428506508</v>
      </c>
      <c r="AU163" s="188">
        <f t="shared" si="152"/>
        <v>4.6801605382382974</v>
      </c>
      <c r="AV163" s="188">
        <f t="shared" si="152"/>
        <v>4.6113346479700867</v>
      </c>
    </row>
    <row r="164" spans="1:48">
      <c r="A164" s="4" t="s">
        <v>16</v>
      </c>
      <c r="B164" s="96" t="str">
        <f t="shared" si="149"/>
        <v>CEK</v>
      </c>
      <c r="C164" s="96" t="str">
        <f t="shared" si="150"/>
        <v>Commercial - Cooking</v>
      </c>
      <c r="E164" s="123"/>
      <c r="F164" s="123"/>
      <c r="I164" s="179"/>
      <c r="J164" s="188">
        <f t="shared" ref="J164:AV164" si="153">J$35*J72/1000</f>
        <v>7.9155998052238097</v>
      </c>
      <c r="K164" s="188">
        <f t="shared" si="153"/>
        <v>7.7119135787419291</v>
      </c>
      <c r="L164" s="188">
        <f t="shared" si="153"/>
        <v>7.5254589469677287</v>
      </c>
      <c r="M164" s="188">
        <f t="shared" si="153"/>
        <v>7.3220255389876163</v>
      </c>
      <c r="N164" s="188">
        <f t="shared" si="153"/>
        <v>7.1097174420082103</v>
      </c>
      <c r="O164" s="188">
        <f t="shared" si="153"/>
        <v>6.8637654158832637</v>
      </c>
      <c r="P164" s="188">
        <f t="shared" si="153"/>
        <v>6.795127761724431</v>
      </c>
      <c r="Q164" s="188">
        <f t="shared" si="153"/>
        <v>6.7264901075655983</v>
      </c>
      <c r="R164" s="188">
        <f t="shared" si="153"/>
        <v>6.6578524534067656</v>
      </c>
      <c r="S164" s="188">
        <f t="shared" si="153"/>
        <v>6.4244844292667347</v>
      </c>
      <c r="T164" s="188">
        <f t="shared" si="153"/>
        <v>6.1945482878346461</v>
      </c>
      <c r="U164" s="188">
        <f t="shared" si="153"/>
        <v>5.9680440291104988</v>
      </c>
      <c r="V164" s="188">
        <f t="shared" si="153"/>
        <v>5.744971653094292</v>
      </c>
      <c r="W164" s="188">
        <f t="shared" si="153"/>
        <v>5.5253311597860284</v>
      </c>
      <c r="X164" s="188">
        <f t="shared" si="153"/>
        <v>5.3091225491857061</v>
      </c>
      <c r="Y164" s="188">
        <f t="shared" si="153"/>
        <v>5.0963458212933253</v>
      </c>
      <c r="Z164" s="188">
        <f t="shared" si="153"/>
        <v>4.8870009761088857</v>
      </c>
      <c r="AA164" s="188">
        <f t="shared" si="153"/>
        <v>4.6810880136323876</v>
      </c>
      <c r="AB164" s="188">
        <f t="shared" si="153"/>
        <v>4.478606933863829</v>
      </c>
      <c r="AC164" s="188">
        <f t="shared" si="153"/>
        <v>4.4271286932447049</v>
      </c>
      <c r="AD164" s="188">
        <f t="shared" si="153"/>
        <v>4.3756504526255799</v>
      </c>
      <c r="AE164" s="188">
        <f t="shared" si="153"/>
        <v>4.324172212006455</v>
      </c>
      <c r="AF164" s="188">
        <f t="shared" si="153"/>
        <v>4.2726939713873309</v>
      </c>
      <c r="AG164" s="188">
        <f t="shared" si="153"/>
        <v>4.2212157307682068</v>
      </c>
      <c r="AH164" s="188">
        <f t="shared" si="153"/>
        <v>4.1697374901490818</v>
      </c>
      <c r="AI164" s="188">
        <f t="shared" si="153"/>
        <v>4.1182592495299577</v>
      </c>
      <c r="AJ164" s="188">
        <f t="shared" si="153"/>
        <v>4.0667810089108327</v>
      </c>
      <c r="AK164" s="188">
        <f t="shared" si="153"/>
        <v>4.0153027682917077</v>
      </c>
      <c r="AL164" s="188">
        <f t="shared" si="153"/>
        <v>3.9638245276725832</v>
      </c>
      <c r="AM164" s="188">
        <f t="shared" si="153"/>
        <v>3.9123462870534591</v>
      </c>
      <c r="AN164" s="188">
        <f t="shared" si="153"/>
        <v>3.8608680464343346</v>
      </c>
      <c r="AO164" s="188">
        <f t="shared" si="153"/>
        <v>3.8093898058152096</v>
      </c>
      <c r="AP164" s="188">
        <f t="shared" si="153"/>
        <v>3.757911565196085</v>
      </c>
      <c r="AQ164" s="188">
        <f t="shared" si="153"/>
        <v>3.706433324576961</v>
      </c>
      <c r="AR164" s="188">
        <f t="shared" si="153"/>
        <v>3.6549550839578369</v>
      </c>
      <c r="AS164" s="188">
        <f t="shared" si="153"/>
        <v>3.6034768433387123</v>
      </c>
      <c r="AT164" s="188">
        <f t="shared" si="153"/>
        <v>3.5519986027195878</v>
      </c>
      <c r="AU164" s="188">
        <f t="shared" si="153"/>
        <v>3.5005203621004628</v>
      </c>
      <c r="AV164" s="188">
        <f t="shared" si="153"/>
        <v>3.4490421214813383</v>
      </c>
    </row>
    <row r="165" spans="1:48">
      <c r="A165" s="4" t="s">
        <v>16</v>
      </c>
      <c r="B165" s="96" t="str">
        <f t="shared" si="149"/>
        <v>CEL</v>
      </c>
      <c r="C165" s="96" t="str">
        <f t="shared" si="150"/>
        <v>Commercial - Lighting</v>
      </c>
      <c r="E165" s="123"/>
      <c r="F165" s="123"/>
      <c r="I165" s="179"/>
      <c r="J165" s="188">
        <f t="shared" ref="J165:AV165" si="154">J$35*J73/1000</f>
        <v>97.232217524551132</v>
      </c>
      <c r="K165" s="188">
        <f t="shared" si="154"/>
        <v>94.619905770310211</v>
      </c>
      <c r="L165" s="188">
        <f t="shared" si="154"/>
        <v>92.216641171078479</v>
      </c>
      <c r="M165" s="188">
        <f t="shared" si="154"/>
        <v>89.602679588882765</v>
      </c>
      <c r="N165" s="188">
        <f t="shared" si="154"/>
        <v>86.877609515793239</v>
      </c>
      <c r="O165" s="188">
        <f t="shared" si="154"/>
        <v>83.739423817129023</v>
      </c>
      <c r="P165" s="188">
        <f t="shared" si="154"/>
        <v>82.902029578957737</v>
      </c>
      <c r="Q165" s="188">
        <f t="shared" si="154"/>
        <v>82.064635340786438</v>
      </c>
      <c r="R165" s="188">
        <f t="shared" si="154"/>
        <v>81.227241102615139</v>
      </c>
      <c r="S165" s="188">
        <f t="shared" si="154"/>
        <v>78.380100692832769</v>
      </c>
      <c r="T165" s="188">
        <f t="shared" si="154"/>
        <v>75.574829994958947</v>
      </c>
      <c r="U165" s="188">
        <f t="shared" si="154"/>
        <v>72.811429008993684</v>
      </c>
      <c r="V165" s="188">
        <f t="shared" si="154"/>
        <v>70.089897734936997</v>
      </c>
      <c r="W165" s="188">
        <f t="shared" si="154"/>
        <v>67.410236172788871</v>
      </c>
      <c r="X165" s="188">
        <f t="shared" si="154"/>
        <v>64.772444322549305</v>
      </c>
      <c r="Y165" s="188">
        <f t="shared" si="154"/>
        <v>62.176522184218314</v>
      </c>
      <c r="Z165" s="188">
        <f t="shared" si="154"/>
        <v>59.622469757795876</v>
      </c>
      <c r="AA165" s="188">
        <f t="shared" si="154"/>
        <v>57.110287043282014</v>
      </c>
      <c r="AB165" s="188">
        <f t="shared" si="154"/>
        <v>54.639974040676684</v>
      </c>
      <c r="AC165" s="188">
        <f t="shared" si="154"/>
        <v>54.011928362048216</v>
      </c>
      <c r="AD165" s="188">
        <f t="shared" si="154"/>
        <v>53.383882683419756</v>
      </c>
      <c r="AE165" s="188">
        <f t="shared" si="154"/>
        <v>52.755837004791275</v>
      </c>
      <c r="AF165" s="188">
        <f t="shared" si="154"/>
        <v>52.127791326162807</v>
      </c>
      <c r="AG165" s="188">
        <f t="shared" si="154"/>
        <v>51.49974564753434</v>
      </c>
      <c r="AH165" s="188">
        <f t="shared" si="154"/>
        <v>50.871699968905872</v>
      </c>
      <c r="AI165" s="188">
        <f t="shared" si="154"/>
        <v>50.243654290277412</v>
      </c>
      <c r="AJ165" s="188">
        <f t="shared" si="154"/>
        <v>49.615608611648931</v>
      </c>
      <c r="AK165" s="188">
        <f t="shared" si="154"/>
        <v>48.98756293302047</v>
      </c>
      <c r="AL165" s="188">
        <f t="shared" si="154"/>
        <v>48.359517254391996</v>
      </c>
      <c r="AM165" s="188">
        <f t="shared" si="154"/>
        <v>47.731471575763535</v>
      </c>
      <c r="AN165" s="188">
        <f t="shared" si="154"/>
        <v>47.103425897135068</v>
      </c>
      <c r="AO165" s="188">
        <f t="shared" si="154"/>
        <v>46.475380218506587</v>
      </c>
      <c r="AP165" s="188">
        <f t="shared" si="154"/>
        <v>45.847334539878126</v>
      </c>
      <c r="AQ165" s="188">
        <f t="shared" si="154"/>
        <v>45.219288861249652</v>
      </c>
      <c r="AR165" s="188">
        <f t="shared" si="154"/>
        <v>44.591243182621199</v>
      </c>
      <c r="AS165" s="188">
        <f t="shared" si="154"/>
        <v>43.963197503992717</v>
      </c>
      <c r="AT165" s="188">
        <f t="shared" si="154"/>
        <v>43.335151825364257</v>
      </c>
      <c r="AU165" s="188">
        <f t="shared" si="154"/>
        <v>42.707106146735789</v>
      </c>
      <c r="AV165" s="188">
        <f t="shared" si="154"/>
        <v>42.079060468107308</v>
      </c>
    </row>
    <row r="166" spans="1:48">
      <c r="A166" s="4" t="s">
        <v>16</v>
      </c>
      <c r="B166" s="96" t="str">
        <f t="shared" si="149"/>
        <v>CER</v>
      </c>
      <c r="C166" s="96" t="str">
        <f t="shared" si="150"/>
        <v>Commercial - Refrigeration</v>
      </c>
      <c r="E166" s="123"/>
      <c r="F166" s="123"/>
      <c r="I166" s="179"/>
      <c r="J166" s="188">
        <f t="shared" ref="J166:AV166" si="155">J$35*J74/1000</f>
        <v>23.653112298997645</v>
      </c>
      <c r="K166" s="188">
        <f t="shared" si="155"/>
        <v>23.017630512649919</v>
      </c>
      <c r="L166" s="188">
        <f t="shared" si="155"/>
        <v>22.433002403808526</v>
      </c>
      <c r="M166" s="188">
        <f t="shared" si="155"/>
        <v>21.797119273473363</v>
      </c>
      <c r="N166" s="188">
        <f t="shared" si="155"/>
        <v>21.134207431057046</v>
      </c>
      <c r="O166" s="188">
        <f t="shared" si="155"/>
        <v>20.370799369044367</v>
      </c>
      <c r="P166" s="188">
        <f t="shared" si="155"/>
        <v>20.16709137535392</v>
      </c>
      <c r="Q166" s="188">
        <f t="shared" si="155"/>
        <v>19.963383381663476</v>
      </c>
      <c r="R166" s="188">
        <f t="shared" si="155"/>
        <v>19.759675387973033</v>
      </c>
      <c r="S166" s="188">
        <f t="shared" si="155"/>
        <v>19.067068209425525</v>
      </c>
      <c r="T166" s="188">
        <f t="shared" si="155"/>
        <v>18.38464643056254</v>
      </c>
      <c r="U166" s="188">
        <f t="shared" si="155"/>
        <v>17.712410051384079</v>
      </c>
      <c r="V166" s="188">
        <f t="shared" si="155"/>
        <v>17.050359071890135</v>
      </c>
      <c r="W166" s="188">
        <f t="shared" si="155"/>
        <v>16.398493492080718</v>
      </c>
      <c r="X166" s="188">
        <f t="shared" si="155"/>
        <v>15.75681331195582</v>
      </c>
      <c r="Y166" s="188">
        <f t="shared" si="155"/>
        <v>15.12531853151545</v>
      </c>
      <c r="Z166" s="188">
        <f t="shared" si="155"/>
        <v>14.504009150759595</v>
      </c>
      <c r="AA166" s="188">
        <f t="shared" si="155"/>
        <v>13.892885169688265</v>
      </c>
      <c r="AB166" s="188">
        <f t="shared" si="155"/>
        <v>13.291946588301448</v>
      </c>
      <c r="AC166" s="188">
        <f t="shared" si="155"/>
        <v>13.139165593033615</v>
      </c>
      <c r="AD166" s="188">
        <f t="shared" si="155"/>
        <v>12.986384597765783</v>
      </c>
      <c r="AE166" s="188">
        <f t="shared" si="155"/>
        <v>12.833603602497947</v>
      </c>
      <c r="AF166" s="188">
        <f t="shared" si="155"/>
        <v>12.680822607230114</v>
      </c>
      <c r="AG166" s="188">
        <f t="shared" si="155"/>
        <v>12.528041611962282</v>
      </c>
      <c r="AH166" s="188">
        <f t="shared" si="155"/>
        <v>12.375260616694449</v>
      </c>
      <c r="AI166" s="188">
        <f t="shared" si="155"/>
        <v>12.222479621426617</v>
      </c>
      <c r="AJ166" s="188">
        <f t="shared" si="155"/>
        <v>12.069698626158782</v>
      </c>
      <c r="AK166" s="188">
        <f t="shared" si="155"/>
        <v>11.91691763089095</v>
      </c>
      <c r="AL166" s="188">
        <f t="shared" si="155"/>
        <v>11.764136635623117</v>
      </c>
      <c r="AM166" s="188">
        <f t="shared" si="155"/>
        <v>11.611355640355285</v>
      </c>
      <c r="AN166" s="188">
        <f t="shared" si="155"/>
        <v>11.458574645087452</v>
      </c>
      <c r="AO166" s="188">
        <f t="shared" si="155"/>
        <v>11.305793649819618</v>
      </c>
      <c r="AP166" s="188">
        <f t="shared" si="155"/>
        <v>11.153012654551786</v>
      </c>
      <c r="AQ166" s="188">
        <f t="shared" si="155"/>
        <v>11.000231659283953</v>
      </c>
      <c r="AR166" s="188">
        <f t="shared" si="155"/>
        <v>10.847450664016122</v>
      </c>
      <c r="AS166" s="188">
        <f t="shared" si="155"/>
        <v>10.694669668748288</v>
      </c>
      <c r="AT166" s="188">
        <f t="shared" si="155"/>
        <v>10.541888673480454</v>
      </c>
      <c r="AU166" s="188">
        <f t="shared" si="155"/>
        <v>10.389107678212621</v>
      </c>
      <c r="AV166" s="188">
        <f t="shared" si="155"/>
        <v>10.236326682944787</v>
      </c>
    </row>
    <row r="167" spans="1:48">
      <c r="A167" s="4" t="s">
        <v>16</v>
      </c>
      <c r="B167" s="96" t="str">
        <f t="shared" si="149"/>
        <v>CEW</v>
      </c>
      <c r="C167" s="96" t="str">
        <f t="shared" si="150"/>
        <v>Commercial - Water Heating</v>
      </c>
      <c r="E167" s="123"/>
      <c r="F167" s="123"/>
      <c r="I167" s="179"/>
      <c r="J167" s="188">
        <f t="shared" ref="J167:AV167" si="156">J$35*J75/1000</f>
        <v>7.7464872184600253</v>
      </c>
      <c r="K167" s="188">
        <f t="shared" si="156"/>
        <v>8.2990240988240043</v>
      </c>
      <c r="L167" s="188">
        <f t="shared" si="156"/>
        <v>8.8862772531662575</v>
      </c>
      <c r="M167" s="188">
        <f t="shared" si="156"/>
        <v>9.4714746816451605</v>
      </c>
      <c r="N167" s="188">
        <f t="shared" si="156"/>
        <v>10.062268095442514</v>
      </c>
      <c r="O167" s="188">
        <f t="shared" si="156"/>
        <v>10.619089375975474</v>
      </c>
      <c r="P167" s="188">
        <f t="shared" si="156"/>
        <v>10.51289848221572</v>
      </c>
      <c r="Q167" s="188">
        <f t="shared" si="156"/>
        <v>10.406707588455964</v>
      </c>
      <c r="R167" s="188">
        <f t="shared" si="156"/>
        <v>10.30051669469621</v>
      </c>
      <c r="S167" s="188">
        <f t="shared" si="156"/>
        <v>9.9394676559130417</v>
      </c>
      <c r="T167" s="188">
        <f t="shared" si="156"/>
        <v>9.5837281618178647</v>
      </c>
      <c r="U167" s="188">
        <f t="shared" si="156"/>
        <v>9.2332982124106735</v>
      </c>
      <c r="V167" s="188">
        <f t="shared" si="156"/>
        <v>8.8881778076914681</v>
      </c>
      <c r="W167" s="188">
        <f t="shared" si="156"/>
        <v>8.548366947660254</v>
      </c>
      <c r="X167" s="188">
        <f t="shared" si="156"/>
        <v>8.2138656323170274</v>
      </c>
      <c r="Y167" s="188">
        <f t="shared" si="156"/>
        <v>7.8846738616617875</v>
      </c>
      <c r="Z167" s="188">
        <f t="shared" si="156"/>
        <v>7.5607916356945344</v>
      </c>
      <c r="AA167" s="188">
        <f t="shared" si="156"/>
        <v>7.2422189544152697</v>
      </c>
      <c r="AB167" s="188">
        <f t="shared" si="156"/>
        <v>6.9289558178239963</v>
      </c>
      <c r="AC167" s="188">
        <f t="shared" si="156"/>
        <v>6.8493126475041803</v>
      </c>
      <c r="AD167" s="188">
        <f t="shared" si="156"/>
        <v>6.7696694771843644</v>
      </c>
      <c r="AE167" s="188">
        <f t="shared" si="156"/>
        <v>6.6900263068645476</v>
      </c>
      <c r="AF167" s="188">
        <f t="shared" si="156"/>
        <v>6.6103831365447316</v>
      </c>
      <c r="AG167" s="188">
        <f t="shared" si="156"/>
        <v>6.5307399662249157</v>
      </c>
      <c r="AH167" s="188">
        <f t="shared" si="156"/>
        <v>6.4510967959050998</v>
      </c>
      <c r="AI167" s="188">
        <f t="shared" si="156"/>
        <v>6.3714536255852838</v>
      </c>
      <c r="AJ167" s="188">
        <f t="shared" si="156"/>
        <v>6.291810455265467</v>
      </c>
      <c r="AK167" s="188">
        <f t="shared" si="156"/>
        <v>6.2121672849456511</v>
      </c>
      <c r="AL167" s="188">
        <f t="shared" si="156"/>
        <v>6.1325241146258342</v>
      </c>
      <c r="AM167" s="188">
        <f t="shared" si="156"/>
        <v>6.0528809443060183</v>
      </c>
      <c r="AN167" s="188">
        <f t="shared" si="156"/>
        <v>5.9732377739862024</v>
      </c>
      <c r="AO167" s="188">
        <f t="shared" si="156"/>
        <v>5.8935946036663855</v>
      </c>
      <c r="AP167" s="188">
        <f t="shared" si="156"/>
        <v>5.8139514333465696</v>
      </c>
      <c r="AQ167" s="188">
        <f t="shared" si="156"/>
        <v>5.7343082630267537</v>
      </c>
      <c r="AR167" s="188">
        <f t="shared" si="156"/>
        <v>5.6546650927069386</v>
      </c>
      <c r="AS167" s="188">
        <f t="shared" si="156"/>
        <v>5.5750219223871218</v>
      </c>
      <c r="AT167" s="188">
        <f t="shared" si="156"/>
        <v>5.4953787520673059</v>
      </c>
      <c r="AU167" s="188">
        <f t="shared" si="156"/>
        <v>5.4157355817474899</v>
      </c>
      <c r="AV167" s="188">
        <f t="shared" si="156"/>
        <v>5.3360924114276731</v>
      </c>
    </row>
    <row r="168" spans="1:48">
      <c r="A168" s="4" t="s">
        <v>16</v>
      </c>
      <c r="B168" s="96" t="str">
        <f t="shared" si="149"/>
        <v>CEG</v>
      </c>
      <c r="C168" s="96" t="str">
        <f t="shared" si="150"/>
        <v>Commercial - Public lights</v>
      </c>
      <c r="E168" s="123"/>
      <c r="F168" s="123"/>
      <c r="I168" s="179"/>
      <c r="J168" s="188">
        <f t="shared" ref="J168:AV168" si="157">J$35*J76/1000</f>
        <v>0</v>
      </c>
      <c r="K168" s="188">
        <f t="shared" si="157"/>
        <v>0</v>
      </c>
      <c r="L168" s="188">
        <f t="shared" si="157"/>
        <v>0</v>
      </c>
      <c r="M168" s="188">
        <f t="shared" si="157"/>
        <v>0</v>
      </c>
      <c r="N168" s="188">
        <f t="shared" si="157"/>
        <v>0</v>
      </c>
      <c r="O168" s="188">
        <f t="shared" si="157"/>
        <v>0</v>
      </c>
      <c r="P168" s="188">
        <f t="shared" si="157"/>
        <v>0</v>
      </c>
      <c r="Q168" s="188">
        <f t="shared" si="157"/>
        <v>0</v>
      </c>
      <c r="R168" s="188">
        <f t="shared" si="157"/>
        <v>0</v>
      </c>
      <c r="S168" s="188">
        <f t="shared" si="157"/>
        <v>0</v>
      </c>
      <c r="T168" s="188">
        <f t="shared" si="157"/>
        <v>0</v>
      </c>
      <c r="U168" s="188">
        <f t="shared" si="157"/>
        <v>0</v>
      </c>
      <c r="V168" s="188">
        <f t="shared" si="157"/>
        <v>0</v>
      </c>
      <c r="W168" s="188">
        <f t="shared" si="157"/>
        <v>0</v>
      </c>
      <c r="X168" s="188">
        <f t="shared" si="157"/>
        <v>0</v>
      </c>
      <c r="Y168" s="188">
        <f t="shared" si="157"/>
        <v>0</v>
      </c>
      <c r="Z168" s="188">
        <f t="shared" si="157"/>
        <v>0</v>
      </c>
      <c r="AA168" s="188">
        <f t="shared" si="157"/>
        <v>0</v>
      </c>
      <c r="AB168" s="188">
        <f t="shared" si="157"/>
        <v>0</v>
      </c>
      <c r="AC168" s="188">
        <f t="shared" si="157"/>
        <v>0</v>
      </c>
      <c r="AD168" s="188">
        <f t="shared" si="157"/>
        <v>0</v>
      </c>
      <c r="AE168" s="188">
        <f t="shared" si="157"/>
        <v>0</v>
      </c>
      <c r="AF168" s="188">
        <f t="shared" si="157"/>
        <v>0</v>
      </c>
      <c r="AG168" s="188">
        <f t="shared" si="157"/>
        <v>0</v>
      </c>
      <c r="AH168" s="188">
        <f t="shared" si="157"/>
        <v>0</v>
      </c>
      <c r="AI168" s="188">
        <f t="shared" si="157"/>
        <v>0</v>
      </c>
      <c r="AJ168" s="188">
        <f t="shared" si="157"/>
        <v>0</v>
      </c>
      <c r="AK168" s="188">
        <f t="shared" si="157"/>
        <v>0</v>
      </c>
      <c r="AL168" s="188">
        <f t="shared" si="157"/>
        <v>0</v>
      </c>
      <c r="AM168" s="188">
        <f t="shared" si="157"/>
        <v>0</v>
      </c>
      <c r="AN168" s="188">
        <f t="shared" si="157"/>
        <v>0</v>
      </c>
      <c r="AO168" s="188">
        <f t="shared" si="157"/>
        <v>0</v>
      </c>
      <c r="AP168" s="188">
        <f t="shared" si="157"/>
        <v>0</v>
      </c>
      <c r="AQ168" s="188">
        <f t="shared" si="157"/>
        <v>0</v>
      </c>
      <c r="AR168" s="188">
        <f t="shared" si="157"/>
        <v>0</v>
      </c>
      <c r="AS168" s="188">
        <f t="shared" si="157"/>
        <v>0</v>
      </c>
      <c r="AT168" s="188">
        <f t="shared" si="157"/>
        <v>0</v>
      </c>
      <c r="AU168" s="188">
        <f t="shared" si="157"/>
        <v>0</v>
      </c>
      <c r="AV168" s="188">
        <f t="shared" si="157"/>
        <v>0</v>
      </c>
    </row>
    <row r="169" spans="1:48">
      <c r="A169" s="4" t="s">
        <v>16</v>
      </c>
      <c r="B169" s="96" t="str">
        <f t="shared" si="149"/>
        <v>CET</v>
      </c>
      <c r="C169" s="96" t="str">
        <f t="shared" si="150"/>
        <v>Commercial - Public Water</v>
      </c>
      <c r="E169" s="123"/>
      <c r="F169" s="123"/>
      <c r="I169" s="179"/>
      <c r="J169" s="188">
        <f t="shared" ref="J169:AV169" si="158">J$35*J77/1000</f>
        <v>0</v>
      </c>
      <c r="K169" s="188">
        <f t="shared" si="158"/>
        <v>0</v>
      </c>
      <c r="L169" s="188">
        <f t="shared" si="158"/>
        <v>0</v>
      </c>
      <c r="M169" s="188">
        <f t="shared" si="158"/>
        <v>0</v>
      </c>
      <c r="N169" s="188">
        <f t="shared" si="158"/>
        <v>0</v>
      </c>
      <c r="O169" s="188">
        <f t="shared" si="158"/>
        <v>0</v>
      </c>
      <c r="P169" s="188">
        <f t="shared" si="158"/>
        <v>0</v>
      </c>
      <c r="Q169" s="188">
        <f t="shared" si="158"/>
        <v>0</v>
      </c>
      <c r="R169" s="188">
        <f t="shared" si="158"/>
        <v>0</v>
      </c>
      <c r="S169" s="188">
        <f t="shared" si="158"/>
        <v>0</v>
      </c>
      <c r="T169" s="188">
        <f t="shared" si="158"/>
        <v>0</v>
      </c>
      <c r="U169" s="188">
        <f t="shared" si="158"/>
        <v>0</v>
      </c>
      <c r="V169" s="188">
        <f t="shared" si="158"/>
        <v>0</v>
      </c>
      <c r="W169" s="188">
        <f t="shared" si="158"/>
        <v>0</v>
      </c>
      <c r="X169" s="188">
        <f t="shared" si="158"/>
        <v>0</v>
      </c>
      <c r="Y169" s="188">
        <f t="shared" si="158"/>
        <v>0</v>
      </c>
      <c r="Z169" s="188">
        <f t="shared" si="158"/>
        <v>0</v>
      </c>
      <c r="AA169" s="188">
        <f t="shared" si="158"/>
        <v>0</v>
      </c>
      <c r="AB169" s="188">
        <f t="shared" si="158"/>
        <v>0</v>
      </c>
      <c r="AC169" s="188">
        <f t="shared" si="158"/>
        <v>0</v>
      </c>
      <c r="AD169" s="188">
        <f t="shared" si="158"/>
        <v>0</v>
      </c>
      <c r="AE169" s="188">
        <f t="shared" si="158"/>
        <v>0</v>
      </c>
      <c r="AF169" s="188">
        <f t="shared" si="158"/>
        <v>0</v>
      </c>
      <c r="AG169" s="188">
        <f t="shared" si="158"/>
        <v>0</v>
      </c>
      <c r="AH169" s="188">
        <f t="shared" si="158"/>
        <v>0</v>
      </c>
      <c r="AI169" s="188">
        <f t="shared" si="158"/>
        <v>0</v>
      </c>
      <c r="AJ169" s="188">
        <f t="shared" si="158"/>
        <v>0</v>
      </c>
      <c r="AK169" s="188">
        <f t="shared" si="158"/>
        <v>0</v>
      </c>
      <c r="AL169" s="188">
        <f t="shared" si="158"/>
        <v>0</v>
      </c>
      <c r="AM169" s="188">
        <f t="shared" si="158"/>
        <v>0</v>
      </c>
      <c r="AN169" s="188">
        <f t="shared" si="158"/>
        <v>0</v>
      </c>
      <c r="AO169" s="188">
        <f t="shared" si="158"/>
        <v>0</v>
      </c>
      <c r="AP169" s="188">
        <f t="shared" si="158"/>
        <v>0</v>
      </c>
      <c r="AQ169" s="188">
        <f t="shared" si="158"/>
        <v>0</v>
      </c>
      <c r="AR169" s="188">
        <f t="shared" si="158"/>
        <v>0</v>
      </c>
      <c r="AS169" s="188">
        <f t="shared" si="158"/>
        <v>0</v>
      </c>
      <c r="AT169" s="188">
        <f t="shared" si="158"/>
        <v>0</v>
      </c>
      <c r="AU169" s="188">
        <f t="shared" si="158"/>
        <v>0</v>
      </c>
      <c r="AV169" s="188">
        <f t="shared" si="158"/>
        <v>0</v>
      </c>
    </row>
    <row r="170" spans="1:48">
      <c r="A170" s="4" t="s">
        <v>16</v>
      </c>
      <c r="B170" s="96" t="str">
        <f t="shared" si="149"/>
        <v>CEO</v>
      </c>
      <c r="C170" s="96" t="str">
        <f t="shared" si="150"/>
        <v>Commercial - Other</v>
      </c>
      <c r="E170" s="123"/>
      <c r="F170" s="123"/>
      <c r="I170" s="179"/>
      <c r="J170" s="188">
        <f t="shared" ref="J170:AV170" si="159">J$35*J78/1000</f>
        <v>15.008147485663144</v>
      </c>
      <c r="K170" s="188">
        <f t="shared" si="159"/>
        <v>14.734783264676375</v>
      </c>
      <c r="L170" s="188">
        <f t="shared" si="159"/>
        <v>14.496769593599147</v>
      </c>
      <c r="M170" s="188">
        <f t="shared" si="159"/>
        <v>14.228748783552332</v>
      </c>
      <c r="N170" s="188">
        <f t="shared" si="159"/>
        <v>13.946044454690799</v>
      </c>
      <c r="O170" s="188">
        <f t="shared" si="159"/>
        <v>13.599393396635234</v>
      </c>
      <c r="P170" s="188">
        <f t="shared" si="159"/>
        <v>13.463399462668884</v>
      </c>
      <c r="Q170" s="188">
        <f t="shared" si="159"/>
        <v>13.327405528702529</v>
      </c>
      <c r="R170" s="188">
        <f t="shared" si="159"/>
        <v>13.191411594736177</v>
      </c>
      <c r="S170" s="188">
        <f t="shared" si="159"/>
        <v>12.729032219250579</v>
      </c>
      <c r="T170" s="188">
        <f t="shared" si="159"/>
        <v>12.273452540463298</v>
      </c>
      <c r="U170" s="188">
        <f t="shared" si="159"/>
        <v>11.824672558374335</v>
      </c>
      <c r="V170" s="188">
        <f t="shared" si="159"/>
        <v>11.382692272983688</v>
      </c>
      <c r="W170" s="188">
        <f t="shared" si="159"/>
        <v>10.947511684291362</v>
      </c>
      <c r="X170" s="188">
        <f t="shared" si="159"/>
        <v>10.519130792297352</v>
      </c>
      <c r="Y170" s="188">
        <f t="shared" si="159"/>
        <v>10.09754959700166</v>
      </c>
      <c r="Z170" s="188">
        <f t="shared" si="159"/>
        <v>9.6827680984042832</v>
      </c>
      <c r="AA170" s="188">
        <f t="shared" si="159"/>
        <v>9.2747862965052263</v>
      </c>
      <c r="AB170" s="188">
        <f t="shared" si="159"/>
        <v>8.8736041913044907</v>
      </c>
      <c r="AC170" s="188">
        <f t="shared" si="159"/>
        <v>8.771608740829727</v>
      </c>
      <c r="AD170" s="188">
        <f t="shared" si="159"/>
        <v>8.6696132903549632</v>
      </c>
      <c r="AE170" s="188">
        <f t="shared" si="159"/>
        <v>8.5676178398801959</v>
      </c>
      <c r="AF170" s="188">
        <f t="shared" si="159"/>
        <v>8.4656223894054321</v>
      </c>
      <c r="AG170" s="188">
        <f t="shared" si="159"/>
        <v>8.3636269389306683</v>
      </c>
      <c r="AH170" s="188">
        <f t="shared" si="159"/>
        <v>8.2616314884559028</v>
      </c>
      <c r="AI170" s="188">
        <f t="shared" si="159"/>
        <v>8.159636037981139</v>
      </c>
      <c r="AJ170" s="188">
        <f t="shared" si="159"/>
        <v>8.0576405875063752</v>
      </c>
      <c r="AK170" s="188">
        <f t="shared" si="159"/>
        <v>7.9556451370316097</v>
      </c>
      <c r="AL170" s="188">
        <f t="shared" si="159"/>
        <v>7.8536496865568459</v>
      </c>
      <c r="AM170" s="188">
        <f t="shared" si="159"/>
        <v>7.7516542360820822</v>
      </c>
      <c r="AN170" s="188">
        <f t="shared" si="159"/>
        <v>7.6496587856073175</v>
      </c>
      <c r="AO170" s="188">
        <f t="shared" si="159"/>
        <v>7.5476633351325528</v>
      </c>
      <c r="AP170" s="188">
        <f t="shared" si="159"/>
        <v>7.4456678846577882</v>
      </c>
      <c r="AQ170" s="188">
        <f t="shared" si="159"/>
        <v>7.3436724341830244</v>
      </c>
      <c r="AR170" s="188">
        <f t="shared" si="159"/>
        <v>7.2416769837082615</v>
      </c>
      <c r="AS170" s="188">
        <f t="shared" si="159"/>
        <v>7.1396815332334951</v>
      </c>
      <c r="AT170" s="188">
        <f t="shared" si="159"/>
        <v>7.0376860827587313</v>
      </c>
      <c r="AU170" s="188">
        <f t="shared" si="159"/>
        <v>6.9356906322839675</v>
      </c>
      <c r="AV170" s="188">
        <f t="shared" si="159"/>
        <v>6.833695181809202</v>
      </c>
    </row>
    <row r="171" spans="1:48">
      <c r="A171" s="4" t="s">
        <v>16</v>
      </c>
      <c r="E171" s="123"/>
      <c r="F171" s="123"/>
      <c r="I171" s="179"/>
      <c r="J171" s="186"/>
      <c r="K171" s="186"/>
      <c r="L171" s="186"/>
      <c r="M171" s="186"/>
      <c r="N171" s="186"/>
      <c r="O171" s="186"/>
      <c r="P171" s="186"/>
      <c r="Q171" s="186"/>
      <c r="R171" s="186"/>
      <c r="S171" s="186"/>
      <c r="T171" s="186"/>
      <c r="U171" s="186"/>
      <c r="V171" s="186"/>
      <c r="W171" s="186"/>
      <c r="X171" s="186"/>
      <c r="Y171" s="186"/>
      <c r="Z171" s="186"/>
      <c r="AA171" s="186"/>
      <c r="AB171" s="186"/>
      <c r="AC171" s="186"/>
      <c r="AD171" s="186"/>
      <c r="AE171" s="186"/>
      <c r="AF171" s="186"/>
      <c r="AG171" s="186"/>
      <c r="AH171" s="186"/>
      <c r="AI171" s="186"/>
      <c r="AJ171" s="186"/>
      <c r="AK171" s="186"/>
      <c r="AL171" s="186"/>
      <c r="AM171" s="186"/>
      <c r="AN171" s="186"/>
      <c r="AO171" s="186"/>
      <c r="AP171" s="186"/>
      <c r="AQ171" s="186"/>
      <c r="AR171" s="186"/>
      <c r="AS171" s="186"/>
      <c r="AT171" s="186"/>
      <c r="AU171" s="186"/>
      <c r="AV171" s="186"/>
    </row>
    <row r="172" spans="1:48">
      <c r="A172" s="4" t="s">
        <v>16</v>
      </c>
      <c r="E172" s="123"/>
      <c r="F172" s="123"/>
      <c r="I172" s="185"/>
      <c r="J172" s="186"/>
      <c r="K172" s="186"/>
      <c r="L172" s="186"/>
      <c r="M172" s="186"/>
      <c r="N172" s="186"/>
      <c r="O172" s="186"/>
      <c r="P172" s="186"/>
      <c r="Q172" s="186"/>
      <c r="R172" s="186"/>
      <c r="S172" s="186"/>
      <c r="T172" s="186"/>
      <c r="U172" s="186"/>
      <c r="V172" s="186"/>
      <c r="W172" s="186"/>
      <c r="X172" s="186"/>
      <c r="Y172" s="186"/>
      <c r="Z172" s="186"/>
      <c r="AA172" s="186"/>
      <c r="AB172" s="186"/>
      <c r="AC172" s="186"/>
      <c r="AD172" s="186"/>
      <c r="AE172" s="186"/>
      <c r="AF172" s="186"/>
      <c r="AG172" s="186"/>
      <c r="AH172" s="186"/>
      <c r="AI172" s="186"/>
      <c r="AJ172" s="186"/>
      <c r="AK172" s="186"/>
      <c r="AL172" s="186"/>
      <c r="AM172" s="186"/>
      <c r="AN172" s="186"/>
      <c r="AO172" s="186"/>
      <c r="AP172" s="186"/>
      <c r="AQ172" s="186"/>
      <c r="AR172" s="186"/>
      <c r="AS172" s="186"/>
      <c r="AT172" s="186"/>
      <c r="AU172" s="186"/>
      <c r="AV172" s="186"/>
    </row>
    <row r="173" spans="1:48" ht="15.75" thickBot="1">
      <c r="A173" s="4" t="s">
        <v>16</v>
      </c>
      <c r="B173" s="187" t="s">
        <v>495</v>
      </c>
      <c r="C173" s="94"/>
      <c r="D173" s="94"/>
      <c r="E173" s="119"/>
      <c r="F173" s="119"/>
      <c r="I173" s="185" t="s">
        <v>109</v>
      </c>
      <c r="J173" s="186"/>
      <c r="K173" s="186"/>
      <c r="L173" s="186"/>
      <c r="M173" s="186"/>
      <c r="N173" s="186"/>
      <c r="O173" s="186"/>
      <c r="P173" s="186"/>
      <c r="Q173" s="186"/>
      <c r="R173" s="186"/>
      <c r="S173" s="186"/>
      <c r="T173" s="186"/>
      <c r="U173" s="186"/>
      <c r="V173" s="186"/>
      <c r="W173" s="186"/>
      <c r="X173" s="186"/>
      <c r="Y173" s="186"/>
      <c r="Z173" s="186"/>
      <c r="AA173" s="186"/>
      <c r="AB173" s="186"/>
      <c r="AC173" s="186"/>
      <c r="AD173" s="186"/>
      <c r="AE173" s="186"/>
      <c r="AF173" s="186"/>
      <c r="AG173" s="186"/>
      <c r="AH173" s="186"/>
      <c r="AI173" s="186"/>
      <c r="AJ173" s="186"/>
      <c r="AK173" s="186"/>
      <c r="AL173" s="186"/>
      <c r="AM173" s="186"/>
      <c r="AN173" s="186"/>
      <c r="AO173" s="186"/>
      <c r="AP173" s="186"/>
      <c r="AQ173" s="186"/>
      <c r="AR173" s="186"/>
      <c r="AS173" s="186"/>
      <c r="AT173" s="186"/>
      <c r="AU173" s="186"/>
      <c r="AV173" s="186"/>
    </row>
    <row r="174" spans="1:48">
      <c r="A174" s="4" t="s">
        <v>16</v>
      </c>
      <c r="B174" s="96" t="str">
        <f t="shared" ref="B174:B182" si="160">B105</f>
        <v>CNC</v>
      </c>
      <c r="C174" s="96" t="str">
        <f t="shared" ref="C174:C182" si="161">C162</f>
        <v>Commercial - Cooling</v>
      </c>
      <c r="E174" s="123"/>
      <c r="F174" s="123"/>
      <c r="I174" s="185"/>
      <c r="J174" s="188">
        <f t="shared" ref="J174:S182" si="162">INDEX(J$49:J$52,MATCH($I$173,$B$49:$B$52,0),1)*INDEX(J$81:J$89,MATCH($B174,$B$81:$B$89,0))*INDEX(J$105:J$113,MATCH($B174,$B$105:$B$113,0))/1000</f>
        <v>0</v>
      </c>
      <c r="K174" s="188">
        <f t="shared" si="162"/>
        <v>0</v>
      </c>
      <c r="L174" s="188">
        <f t="shared" si="162"/>
        <v>0</v>
      </c>
      <c r="M174" s="188">
        <f t="shared" si="162"/>
        <v>0</v>
      </c>
      <c r="N174" s="188">
        <f t="shared" si="162"/>
        <v>0</v>
      </c>
      <c r="O174" s="188">
        <f t="shared" si="162"/>
        <v>0</v>
      </c>
      <c r="P174" s="188">
        <f t="shared" si="162"/>
        <v>0</v>
      </c>
      <c r="Q174" s="188">
        <f t="shared" si="162"/>
        <v>0</v>
      </c>
      <c r="R174" s="188">
        <f t="shared" si="162"/>
        <v>0</v>
      </c>
      <c r="S174" s="188">
        <f t="shared" si="162"/>
        <v>0</v>
      </c>
      <c r="T174" s="188">
        <f t="shared" ref="T174:AC182" si="163">INDEX(T$49:T$52,MATCH($I$173,$B$49:$B$52,0),1)*INDEX(T$81:T$89,MATCH($B174,$B$81:$B$89,0))*INDEX(T$105:T$113,MATCH($B174,$B$105:$B$113,0))/1000</f>
        <v>0</v>
      </c>
      <c r="U174" s="188">
        <f t="shared" si="163"/>
        <v>0</v>
      </c>
      <c r="V174" s="188">
        <f t="shared" si="163"/>
        <v>0</v>
      </c>
      <c r="W174" s="188">
        <f t="shared" si="163"/>
        <v>0</v>
      </c>
      <c r="X174" s="188">
        <f t="shared" si="163"/>
        <v>0</v>
      </c>
      <c r="Y174" s="188">
        <f t="shared" si="163"/>
        <v>0</v>
      </c>
      <c r="Z174" s="188">
        <f t="shared" si="163"/>
        <v>0</v>
      </c>
      <c r="AA174" s="188">
        <f t="shared" si="163"/>
        <v>0</v>
      </c>
      <c r="AB174" s="188">
        <f t="shared" si="163"/>
        <v>0</v>
      </c>
      <c r="AC174" s="188">
        <f t="shared" si="163"/>
        <v>0</v>
      </c>
      <c r="AD174" s="188">
        <f t="shared" ref="AD174:AM182" si="164">INDEX(AD$49:AD$52,MATCH($I$173,$B$49:$B$52,0),1)*INDEX(AD$81:AD$89,MATCH($B174,$B$81:$B$89,0))*INDEX(AD$105:AD$113,MATCH($B174,$B$105:$B$113,0))/1000</f>
        <v>0</v>
      </c>
      <c r="AE174" s="188">
        <f t="shared" si="164"/>
        <v>0</v>
      </c>
      <c r="AF174" s="188">
        <f t="shared" si="164"/>
        <v>0</v>
      </c>
      <c r="AG174" s="188">
        <f t="shared" si="164"/>
        <v>0</v>
      </c>
      <c r="AH174" s="188">
        <f t="shared" si="164"/>
        <v>0</v>
      </c>
      <c r="AI174" s="188">
        <f t="shared" si="164"/>
        <v>0</v>
      </c>
      <c r="AJ174" s="188">
        <f t="shared" si="164"/>
        <v>0</v>
      </c>
      <c r="AK174" s="188">
        <f t="shared" si="164"/>
        <v>0</v>
      </c>
      <c r="AL174" s="188">
        <f t="shared" si="164"/>
        <v>0</v>
      </c>
      <c r="AM174" s="188">
        <f t="shared" si="164"/>
        <v>0</v>
      </c>
      <c r="AN174" s="188">
        <f t="shared" ref="AN174:AV182" si="165">INDEX(AN$49:AN$52,MATCH($I$173,$B$49:$B$52,0),1)*INDEX(AN$81:AN$89,MATCH($B174,$B$81:$B$89,0))*INDEX(AN$105:AN$113,MATCH($B174,$B$105:$B$113,0))/1000</f>
        <v>0</v>
      </c>
      <c r="AO174" s="188">
        <f t="shared" si="165"/>
        <v>0</v>
      </c>
      <c r="AP174" s="188">
        <f t="shared" si="165"/>
        <v>0</v>
      </c>
      <c r="AQ174" s="188">
        <f t="shared" si="165"/>
        <v>0</v>
      </c>
      <c r="AR174" s="188">
        <f t="shared" si="165"/>
        <v>0</v>
      </c>
      <c r="AS174" s="188">
        <f t="shared" si="165"/>
        <v>0</v>
      </c>
      <c r="AT174" s="188">
        <f t="shared" si="165"/>
        <v>0</v>
      </c>
      <c r="AU174" s="188">
        <f t="shared" si="165"/>
        <v>0</v>
      </c>
      <c r="AV174" s="188">
        <f t="shared" si="165"/>
        <v>0</v>
      </c>
    </row>
    <row r="175" spans="1:48">
      <c r="A175" s="4" t="s">
        <v>16</v>
      </c>
      <c r="B175" s="96" t="str">
        <f t="shared" si="160"/>
        <v>CNH</v>
      </c>
      <c r="C175" s="96" t="str">
        <f t="shared" si="161"/>
        <v>Commercial - Space Heating</v>
      </c>
      <c r="E175" s="123"/>
      <c r="F175" s="123"/>
      <c r="I175" s="185"/>
      <c r="J175" s="188">
        <f t="shared" si="162"/>
        <v>0</v>
      </c>
      <c r="K175" s="188">
        <f t="shared" si="162"/>
        <v>0</v>
      </c>
      <c r="L175" s="188">
        <f t="shared" si="162"/>
        <v>0</v>
      </c>
      <c r="M175" s="188">
        <f t="shared" si="162"/>
        <v>0</v>
      </c>
      <c r="N175" s="188">
        <f t="shared" si="162"/>
        <v>0</v>
      </c>
      <c r="O175" s="188">
        <f t="shared" si="162"/>
        <v>0</v>
      </c>
      <c r="P175" s="188">
        <f t="shared" si="162"/>
        <v>0</v>
      </c>
      <c r="Q175" s="188">
        <f t="shared" si="162"/>
        <v>0</v>
      </c>
      <c r="R175" s="188">
        <f t="shared" si="162"/>
        <v>0</v>
      </c>
      <c r="S175" s="188">
        <f t="shared" si="162"/>
        <v>0</v>
      </c>
      <c r="T175" s="188">
        <f t="shared" si="163"/>
        <v>0</v>
      </c>
      <c r="U175" s="188">
        <f t="shared" si="163"/>
        <v>0</v>
      </c>
      <c r="V175" s="188">
        <f t="shared" si="163"/>
        <v>0</v>
      </c>
      <c r="W175" s="188">
        <f t="shared" si="163"/>
        <v>0</v>
      </c>
      <c r="X175" s="188">
        <f t="shared" si="163"/>
        <v>0</v>
      </c>
      <c r="Y175" s="188">
        <f t="shared" si="163"/>
        <v>0</v>
      </c>
      <c r="Z175" s="188">
        <f t="shared" si="163"/>
        <v>0</v>
      </c>
      <c r="AA175" s="188">
        <f t="shared" si="163"/>
        <v>0</v>
      </c>
      <c r="AB175" s="188">
        <f t="shared" si="163"/>
        <v>0</v>
      </c>
      <c r="AC175" s="188">
        <f t="shared" si="163"/>
        <v>0</v>
      </c>
      <c r="AD175" s="188">
        <f t="shared" si="164"/>
        <v>0</v>
      </c>
      <c r="AE175" s="188">
        <f t="shared" si="164"/>
        <v>0</v>
      </c>
      <c r="AF175" s="188">
        <f t="shared" si="164"/>
        <v>0</v>
      </c>
      <c r="AG175" s="188">
        <f t="shared" si="164"/>
        <v>0</v>
      </c>
      <c r="AH175" s="188">
        <f t="shared" si="164"/>
        <v>0</v>
      </c>
      <c r="AI175" s="188">
        <f t="shared" si="164"/>
        <v>0</v>
      </c>
      <c r="AJ175" s="188">
        <f t="shared" si="164"/>
        <v>0</v>
      </c>
      <c r="AK175" s="188">
        <f t="shared" si="164"/>
        <v>0</v>
      </c>
      <c r="AL175" s="188">
        <f t="shared" si="164"/>
        <v>0</v>
      </c>
      <c r="AM175" s="188">
        <f t="shared" si="164"/>
        <v>0</v>
      </c>
      <c r="AN175" s="188">
        <f t="shared" si="165"/>
        <v>0</v>
      </c>
      <c r="AO175" s="188">
        <f t="shared" si="165"/>
        <v>0</v>
      </c>
      <c r="AP175" s="188">
        <f t="shared" si="165"/>
        <v>0</v>
      </c>
      <c r="AQ175" s="188">
        <f t="shared" si="165"/>
        <v>0</v>
      </c>
      <c r="AR175" s="188">
        <f t="shared" si="165"/>
        <v>0</v>
      </c>
      <c r="AS175" s="188">
        <f t="shared" si="165"/>
        <v>0</v>
      </c>
      <c r="AT175" s="188">
        <f t="shared" si="165"/>
        <v>0</v>
      </c>
      <c r="AU175" s="188">
        <f t="shared" si="165"/>
        <v>0</v>
      </c>
      <c r="AV175" s="188">
        <f t="shared" si="165"/>
        <v>0</v>
      </c>
    </row>
    <row r="176" spans="1:48">
      <c r="A176" s="4" t="s">
        <v>16</v>
      </c>
      <c r="B176" s="96" t="str">
        <f t="shared" si="160"/>
        <v>CNK</v>
      </c>
      <c r="C176" s="96" t="str">
        <f t="shared" si="161"/>
        <v>Commercial - Cooking</v>
      </c>
      <c r="E176" s="123"/>
      <c r="F176" s="123"/>
      <c r="I176" s="185"/>
      <c r="J176" s="188">
        <f t="shared" si="162"/>
        <v>0</v>
      </c>
      <c r="K176" s="188">
        <f t="shared" si="162"/>
        <v>0</v>
      </c>
      <c r="L176" s="188">
        <f t="shared" si="162"/>
        <v>0</v>
      </c>
      <c r="M176" s="188">
        <f t="shared" si="162"/>
        <v>0</v>
      </c>
      <c r="N176" s="188">
        <f t="shared" si="162"/>
        <v>0</v>
      </c>
      <c r="O176" s="188">
        <f t="shared" si="162"/>
        <v>0</v>
      </c>
      <c r="P176" s="188">
        <f t="shared" si="162"/>
        <v>0</v>
      </c>
      <c r="Q176" s="188">
        <f t="shared" si="162"/>
        <v>0</v>
      </c>
      <c r="R176" s="188">
        <f t="shared" si="162"/>
        <v>0</v>
      </c>
      <c r="S176" s="188">
        <f t="shared" si="162"/>
        <v>0</v>
      </c>
      <c r="T176" s="188">
        <f t="shared" si="163"/>
        <v>0</v>
      </c>
      <c r="U176" s="188">
        <f t="shared" si="163"/>
        <v>0</v>
      </c>
      <c r="V176" s="188">
        <f t="shared" si="163"/>
        <v>0</v>
      </c>
      <c r="W176" s="188">
        <f t="shared" si="163"/>
        <v>0</v>
      </c>
      <c r="X176" s="188">
        <f t="shared" si="163"/>
        <v>0</v>
      </c>
      <c r="Y176" s="188">
        <f t="shared" si="163"/>
        <v>0</v>
      </c>
      <c r="Z176" s="188">
        <f t="shared" si="163"/>
        <v>0</v>
      </c>
      <c r="AA176" s="188">
        <f t="shared" si="163"/>
        <v>0</v>
      </c>
      <c r="AB176" s="188">
        <f t="shared" si="163"/>
        <v>0</v>
      </c>
      <c r="AC176" s="188">
        <f t="shared" si="163"/>
        <v>0</v>
      </c>
      <c r="AD176" s="188">
        <f t="shared" si="164"/>
        <v>0</v>
      </c>
      <c r="AE176" s="188">
        <f t="shared" si="164"/>
        <v>0</v>
      </c>
      <c r="AF176" s="188">
        <f t="shared" si="164"/>
        <v>0</v>
      </c>
      <c r="AG176" s="188">
        <f t="shared" si="164"/>
        <v>0</v>
      </c>
      <c r="AH176" s="188">
        <f t="shared" si="164"/>
        <v>0</v>
      </c>
      <c r="AI176" s="188">
        <f t="shared" si="164"/>
        <v>0</v>
      </c>
      <c r="AJ176" s="188">
        <f t="shared" si="164"/>
        <v>0</v>
      </c>
      <c r="AK176" s="188">
        <f t="shared" si="164"/>
        <v>0</v>
      </c>
      <c r="AL176" s="188">
        <f t="shared" si="164"/>
        <v>0</v>
      </c>
      <c r="AM176" s="188">
        <f t="shared" si="164"/>
        <v>0</v>
      </c>
      <c r="AN176" s="188">
        <f t="shared" si="165"/>
        <v>0</v>
      </c>
      <c r="AO176" s="188">
        <f t="shared" si="165"/>
        <v>0</v>
      </c>
      <c r="AP176" s="188">
        <f t="shared" si="165"/>
        <v>0</v>
      </c>
      <c r="AQ176" s="188">
        <f t="shared" si="165"/>
        <v>0</v>
      </c>
      <c r="AR176" s="188">
        <f t="shared" si="165"/>
        <v>0</v>
      </c>
      <c r="AS176" s="188">
        <f t="shared" si="165"/>
        <v>0</v>
      </c>
      <c r="AT176" s="188">
        <f t="shared" si="165"/>
        <v>0</v>
      </c>
      <c r="AU176" s="188">
        <f t="shared" si="165"/>
        <v>0</v>
      </c>
      <c r="AV176" s="188">
        <f t="shared" si="165"/>
        <v>0</v>
      </c>
    </row>
    <row r="177" spans="1:48">
      <c r="A177" s="4" t="s">
        <v>16</v>
      </c>
      <c r="B177" s="96" t="str">
        <f t="shared" si="160"/>
        <v>CNL</v>
      </c>
      <c r="C177" s="96" t="str">
        <f t="shared" si="161"/>
        <v>Commercial - Lighting</v>
      </c>
      <c r="E177" s="123"/>
      <c r="F177" s="123"/>
      <c r="I177" s="185"/>
      <c r="J177" s="188">
        <f t="shared" si="162"/>
        <v>0</v>
      </c>
      <c r="K177" s="188">
        <f t="shared" si="162"/>
        <v>0</v>
      </c>
      <c r="L177" s="188">
        <f t="shared" si="162"/>
        <v>0</v>
      </c>
      <c r="M177" s="188">
        <f t="shared" si="162"/>
        <v>0</v>
      </c>
      <c r="N177" s="188">
        <f t="shared" si="162"/>
        <v>0</v>
      </c>
      <c r="O177" s="188">
        <f t="shared" si="162"/>
        <v>0</v>
      </c>
      <c r="P177" s="188">
        <f t="shared" si="162"/>
        <v>0</v>
      </c>
      <c r="Q177" s="188">
        <f t="shared" si="162"/>
        <v>0</v>
      </c>
      <c r="R177" s="188">
        <f t="shared" si="162"/>
        <v>0</v>
      </c>
      <c r="S177" s="188">
        <f t="shared" si="162"/>
        <v>0</v>
      </c>
      <c r="T177" s="188">
        <f t="shared" si="163"/>
        <v>0</v>
      </c>
      <c r="U177" s="188">
        <f t="shared" si="163"/>
        <v>0</v>
      </c>
      <c r="V177" s="188">
        <f t="shared" si="163"/>
        <v>0</v>
      </c>
      <c r="W177" s="188">
        <f t="shared" si="163"/>
        <v>0</v>
      </c>
      <c r="X177" s="188">
        <f t="shared" si="163"/>
        <v>0</v>
      </c>
      <c r="Y177" s="188">
        <f t="shared" si="163"/>
        <v>0</v>
      </c>
      <c r="Z177" s="188">
        <f t="shared" si="163"/>
        <v>0</v>
      </c>
      <c r="AA177" s="188">
        <f t="shared" si="163"/>
        <v>0</v>
      </c>
      <c r="AB177" s="188">
        <f t="shared" si="163"/>
        <v>0</v>
      </c>
      <c r="AC177" s="188">
        <f t="shared" si="163"/>
        <v>0</v>
      </c>
      <c r="AD177" s="188">
        <f t="shared" si="164"/>
        <v>0</v>
      </c>
      <c r="AE177" s="188">
        <f t="shared" si="164"/>
        <v>0</v>
      </c>
      <c r="AF177" s="188">
        <f t="shared" si="164"/>
        <v>0</v>
      </c>
      <c r="AG177" s="188">
        <f t="shared" si="164"/>
        <v>0</v>
      </c>
      <c r="AH177" s="188">
        <f t="shared" si="164"/>
        <v>0</v>
      </c>
      <c r="AI177" s="188">
        <f t="shared" si="164"/>
        <v>0</v>
      </c>
      <c r="AJ177" s="188">
        <f t="shared" si="164"/>
        <v>0</v>
      </c>
      <c r="AK177" s="188">
        <f t="shared" si="164"/>
        <v>0</v>
      </c>
      <c r="AL177" s="188">
        <f t="shared" si="164"/>
        <v>0</v>
      </c>
      <c r="AM177" s="188">
        <f t="shared" si="164"/>
        <v>0</v>
      </c>
      <c r="AN177" s="188">
        <f t="shared" si="165"/>
        <v>0</v>
      </c>
      <c r="AO177" s="188">
        <f t="shared" si="165"/>
        <v>0</v>
      </c>
      <c r="AP177" s="188">
        <f t="shared" si="165"/>
        <v>0</v>
      </c>
      <c r="AQ177" s="188">
        <f t="shared" si="165"/>
        <v>0</v>
      </c>
      <c r="AR177" s="188">
        <f t="shared" si="165"/>
        <v>0</v>
      </c>
      <c r="AS177" s="188">
        <f t="shared" si="165"/>
        <v>0</v>
      </c>
      <c r="AT177" s="188">
        <f t="shared" si="165"/>
        <v>0</v>
      </c>
      <c r="AU177" s="188">
        <f t="shared" si="165"/>
        <v>0</v>
      </c>
      <c r="AV177" s="188">
        <f t="shared" si="165"/>
        <v>0</v>
      </c>
    </row>
    <row r="178" spans="1:48">
      <c r="A178" s="4" t="s">
        <v>16</v>
      </c>
      <c r="B178" s="96" t="str">
        <f t="shared" si="160"/>
        <v>CNR</v>
      </c>
      <c r="C178" s="96" t="str">
        <f t="shared" si="161"/>
        <v>Commercial - Refrigeration</v>
      </c>
      <c r="E178" s="123"/>
      <c r="F178" s="123"/>
      <c r="I178" s="185"/>
      <c r="J178" s="188">
        <f t="shared" si="162"/>
        <v>0</v>
      </c>
      <c r="K178" s="188">
        <f t="shared" si="162"/>
        <v>0</v>
      </c>
      <c r="L178" s="188">
        <f t="shared" si="162"/>
        <v>0</v>
      </c>
      <c r="M178" s="188">
        <f t="shared" si="162"/>
        <v>0</v>
      </c>
      <c r="N178" s="188">
        <f t="shared" si="162"/>
        <v>0</v>
      </c>
      <c r="O178" s="188">
        <f t="shared" si="162"/>
        <v>0</v>
      </c>
      <c r="P178" s="188">
        <f t="shared" si="162"/>
        <v>0</v>
      </c>
      <c r="Q178" s="188">
        <f t="shared" si="162"/>
        <v>0</v>
      </c>
      <c r="R178" s="188">
        <f t="shared" si="162"/>
        <v>0</v>
      </c>
      <c r="S178" s="188">
        <f t="shared" si="162"/>
        <v>0</v>
      </c>
      <c r="T178" s="188">
        <f t="shared" si="163"/>
        <v>0</v>
      </c>
      <c r="U178" s="188">
        <f t="shared" si="163"/>
        <v>0</v>
      </c>
      <c r="V178" s="188">
        <f t="shared" si="163"/>
        <v>0</v>
      </c>
      <c r="W178" s="188">
        <f t="shared" si="163"/>
        <v>0</v>
      </c>
      <c r="X178" s="188">
        <f t="shared" si="163"/>
        <v>0</v>
      </c>
      <c r="Y178" s="188">
        <f t="shared" si="163"/>
        <v>0</v>
      </c>
      <c r="Z178" s="188">
        <f t="shared" si="163"/>
        <v>0</v>
      </c>
      <c r="AA178" s="188">
        <f t="shared" si="163"/>
        <v>0</v>
      </c>
      <c r="AB178" s="188">
        <f t="shared" si="163"/>
        <v>0</v>
      </c>
      <c r="AC178" s="188">
        <f t="shared" si="163"/>
        <v>0</v>
      </c>
      <c r="AD178" s="188">
        <f t="shared" si="164"/>
        <v>0</v>
      </c>
      <c r="AE178" s="188">
        <f t="shared" si="164"/>
        <v>0</v>
      </c>
      <c r="AF178" s="188">
        <f t="shared" si="164"/>
        <v>0</v>
      </c>
      <c r="AG178" s="188">
        <f t="shared" si="164"/>
        <v>0</v>
      </c>
      <c r="AH178" s="188">
        <f t="shared" si="164"/>
        <v>0</v>
      </c>
      <c r="AI178" s="188">
        <f t="shared" si="164"/>
        <v>0</v>
      </c>
      <c r="AJ178" s="188">
        <f t="shared" si="164"/>
        <v>0</v>
      </c>
      <c r="AK178" s="188">
        <f t="shared" si="164"/>
        <v>0</v>
      </c>
      <c r="AL178" s="188">
        <f t="shared" si="164"/>
        <v>0</v>
      </c>
      <c r="AM178" s="188">
        <f t="shared" si="164"/>
        <v>0</v>
      </c>
      <c r="AN178" s="188">
        <f t="shared" si="165"/>
        <v>0</v>
      </c>
      <c r="AO178" s="188">
        <f t="shared" si="165"/>
        <v>0</v>
      </c>
      <c r="AP178" s="188">
        <f t="shared" si="165"/>
        <v>0</v>
      </c>
      <c r="AQ178" s="188">
        <f t="shared" si="165"/>
        <v>0</v>
      </c>
      <c r="AR178" s="188">
        <f t="shared" si="165"/>
        <v>0</v>
      </c>
      <c r="AS178" s="188">
        <f t="shared" si="165"/>
        <v>0</v>
      </c>
      <c r="AT178" s="188">
        <f t="shared" si="165"/>
        <v>0</v>
      </c>
      <c r="AU178" s="188">
        <f t="shared" si="165"/>
        <v>0</v>
      </c>
      <c r="AV178" s="188">
        <f t="shared" si="165"/>
        <v>0</v>
      </c>
    </row>
    <row r="179" spans="1:48">
      <c r="A179" s="4" t="s">
        <v>16</v>
      </c>
      <c r="B179" s="96" t="str">
        <f t="shared" si="160"/>
        <v>CNW</v>
      </c>
      <c r="C179" s="96" t="str">
        <f t="shared" si="161"/>
        <v>Commercial - Water Heating</v>
      </c>
      <c r="E179" s="123"/>
      <c r="F179" s="123"/>
      <c r="I179" s="185"/>
      <c r="J179" s="188">
        <f t="shared" si="162"/>
        <v>0</v>
      </c>
      <c r="K179" s="188">
        <f t="shared" si="162"/>
        <v>0</v>
      </c>
      <c r="L179" s="188">
        <f t="shared" si="162"/>
        <v>0</v>
      </c>
      <c r="M179" s="188">
        <f t="shared" si="162"/>
        <v>0</v>
      </c>
      <c r="N179" s="188">
        <f t="shared" si="162"/>
        <v>0</v>
      </c>
      <c r="O179" s="188">
        <f t="shared" si="162"/>
        <v>0</v>
      </c>
      <c r="P179" s="188">
        <f t="shared" si="162"/>
        <v>0</v>
      </c>
      <c r="Q179" s="188">
        <f t="shared" si="162"/>
        <v>0</v>
      </c>
      <c r="R179" s="188">
        <f t="shared" si="162"/>
        <v>0</v>
      </c>
      <c r="S179" s="188">
        <f t="shared" si="162"/>
        <v>0</v>
      </c>
      <c r="T179" s="188">
        <f t="shared" si="163"/>
        <v>0</v>
      </c>
      <c r="U179" s="188">
        <f t="shared" si="163"/>
        <v>0</v>
      </c>
      <c r="V179" s="188">
        <f t="shared" si="163"/>
        <v>0</v>
      </c>
      <c r="W179" s="188">
        <f t="shared" si="163"/>
        <v>0</v>
      </c>
      <c r="X179" s="188">
        <f t="shared" si="163"/>
        <v>0</v>
      </c>
      <c r="Y179" s="188">
        <f t="shared" si="163"/>
        <v>0</v>
      </c>
      <c r="Z179" s="188">
        <f t="shared" si="163"/>
        <v>0</v>
      </c>
      <c r="AA179" s="188">
        <f t="shared" si="163"/>
        <v>0</v>
      </c>
      <c r="AB179" s="188">
        <f t="shared" si="163"/>
        <v>0</v>
      </c>
      <c r="AC179" s="188">
        <f t="shared" si="163"/>
        <v>0</v>
      </c>
      <c r="AD179" s="188">
        <f t="shared" si="164"/>
        <v>0</v>
      </c>
      <c r="AE179" s="188">
        <f t="shared" si="164"/>
        <v>0</v>
      </c>
      <c r="AF179" s="188">
        <f t="shared" si="164"/>
        <v>0</v>
      </c>
      <c r="AG179" s="188">
        <f t="shared" si="164"/>
        <v>0</v>
      </c>
      <c r="AH179" s="188">
        <f t="shared" si="164"/>
        <v>0</v>
      </c>
      <c r="AI179" s="188">
        <f t="shared" si="164"/>
        <v>0</v>
      </c>
      <c r="AJ179" s="188">
        <f t="shared" si="164"/>
        <v>0</v>
      </c>
      <c r="AK179" s="188">
        <f t="shared" si="164"/>
        <v>0</v>
      </c>
      <c r="AL179" s="188">
        <f t="shared" si="164"/>
        <v>0</v>
      </c>
      <c r="AM179" s="188">
        <f t="shared" si="164"/>
        <v>0</v>
      </c>
      <c r="AN179" s="188">
        <f t="shared" si="165"/>
        <v>0</v>
      </c>
      <c r="AO179" s="188">
        <f t="shared" si="165"/>
        <v>0</v>
      </c>
      <c r="AP179" s="188">
        <f t="shared" si="165"/>
        <v>0</v>
      </c>
      <c r="AQ179" s="188">
        <f t="shared" si="165"/>
        <v>0</v>
      </c>
      <c r="AR179" s="188">
        <f t="shared" si="165"/>
        <v>0</v>
      </c>
      <c r="AS179" s="188">
        <f t="shared" si="165"/>
        <v>0</v>
      </c>
      <c r="AT179" s="188">
        <f t="shared" si="165"/>
        <v>0</v>
      </c>
      <c r="AU179" s="188">
        <f t="shared" si="165"/>
        <v>0</v>
      </c>
      <c r="AV179" s="188">
        <f t="shared" si="165"/>
        <v>0</v>
      </c>
    </row>
    <row r="180" spans="1:48">
      <c r="A180" s="4" t="s">
        <v>16</v>
      </c>
      <c r="B180" s="96" t="str">
        <f t="shared" si="160"/>
        <v>CNG</v>
      </c>
      <c r="C180" s="96" t="str">
        <f t="shared" si="161"/>
        <v>Commercial - Public lights</v>
      </c>
      <c r="E180" s="123"/>
      <c r="F180" s="123"/>
      <c r="I180" s="185"/>
      <c r="J180" s="188">
        <f t="shared" si="162"/>
        <v>0</v>
      </c>
      <c r="K180" s="188">
        <f t="shared" si="162"/>
        <v>0</v>
      </c>
      <c r="L180" s="188">
        <f t="shared" si="162"/>
        <v>0</v>
      </c>
      <c r="M180" s="188">
        <f t="shared" si="162"/>
        <v>0</v>
      </c>
      <c r="N180" s="188">
        <f t="shared" si="162"/>
        <v>0</v>
      </c>
      <c r="O180" s="188">
        <f t="shared" si="162"/>
        <v>0</v>
      </c>
      <c r="P180" s="188">
        <f t="shared" si="162"/>
        <v>0</v>
      </c>
      <c r="Q180" s="188">
        <f t="shared" si="162"/>
        <v>0</v>
      </c>
      <c r="R180" s="188">
        <f t="shared" si="162"/>
        <v>0</v>
      </c>
      <c r="S180" s="188">
        <f t="shared" si="162"/>
        <v>0</v>
      </c>
      <c r="T180" s="188">
        <f t="shared" si="163"/>
        <v>0</v>
      </c>
      <c r="U180" s="188">
        <f t="shared" si="163"/>
        <v>0</v>
      </c>
      <c r="V180" s="188">
        <f t="shared" si="163"/>
        <v>0</v>
      </c>
      <c r="W180" s="188">
        <f t="shared" si="163"/>
        <v>0</v>
      </c>
      <c r="X180" s="188">
        <f t="shared" si="163"/>
        <v>0</v>
      </c>
      <c r="Y180" s="188">
        <f t="shared" si="163"/>
        <v>0</v>
      </c>
      <c r="Z180" s="188">
        <f t="shared" si="163"/>
        <v>0</v>
      </c>
      <c r="AA180" s="188">
        <f t="shared" si="163"/>
        <v>0</v>
      </c>
      <c r="AB180" s="188">
        <f t="shared" si="163"/>
        <v>0</v>
      </c>
      <c r="AC180" s="188">
        <f t="shared" si="163"/>
        <v>0</v>
      </c>
      <c r="AD180" s="188">
        <f t="shared" si="164"/>
        <v>0</v>
      </c>
      <c r="AE180" s="188">
        <f t="shared" si="164"/>
        <v>0</v>
      </c>
      <c r="AF180" s="188">
        <f t="shared" si="164"/>
        <v>0</v>
      </c>
      <c r="AG180" s="188">
        <f t="shared" si="164"/>
        <v>0</v>
      </c>
      <c r="AH180" s="188">
        <f t="shared" si="164"/>
        <v>0</v>
      </c>
      <c r="AI180" s="188">
        <f t="shared" si="164"/>
        <v>0</v>
      </c>
      <c r="AJ180" s="188">
        <f t="shared" si="164"/>
        <v>0</v>
      </c>
      <c r="AK180" s="188">
        <f t="shared" si="164"/>
        <v>0</v>
      </c>
      <c r="AL180" s="188">
        <f t="shared" si="164"/>
        <v>0</v>
      </c>
      <c r="AM180" s="188">
        <f t="shared" si="164"/>
        <v>0</v>
      </c>
      <c r="AN180" s="188">
        <f t="shared" si="165"/>
        <v>0</v>
      </c>
      <c r="AO180" s="188">
        <f t="shared" si="165"/>
        <v>0</v>
      </c>
      <c r="AP180" s="188">
        <f t="shared" si="165"/>
        <v>0</v>
      </c>
      <c r="AQ180" s="188">
        <f t="shared" si="165"/>
        <v>0</v>
      </c>
      <c r="AR180" s="188">
        <f t="shared" si="165"/>
        <v>0</v>
      </c>
      <c r="AS180" s="188">
        <f t="shared" si="165"/>
        <v>0</v>
      </c>
      <c r="AT180" s="188">
        <f t="shared" si="165"/>
        <v>0</v>
      </c>
      <c r="AU180" s="188">
        <f t="shared" si="165"/>
        <v>0</v>
      </c>
      <c r="AV180" s="188">
        <f t="shared" si="165"/>
        <v>0</v>
      </c>
    </row>
    <row r="181" spans="1:48">
      <c r="A181" s="4" t="s">
        <v>16</v>
      </c>
      <c r="B181" s="96" t="str">
        <f t="shared" si="160"/>
        <v>CNT</v>
      </c>
      <c r="C181" s="96" t="str">
        <f t="shared" si="161"/>
        <v>Commercial - Public Water</v>
      </c>
      <c r="E181" s="123"/>
      <c r="F181" s="123"/>
      <c r="I181" s="185"/>
      <c r="J181" s="188">
        <f t="shared" si="162"/>
        <v>0</v>
      </c>
      <c r="K181" s="188">
        <f t="shared" si="162"/>
        <v>0</v>
      </c>
      <c r="L181" s="188">
        <f t="shared" si="162"/>
        <v>0</v>
      </c>
      <c r="M181" s="188">
        <f t="shared" si="162"/>
        <v>0</v>
      </c>
      <c r="N181" s="188">
        <f t="shared" si="162"/>
        <v>0</v>
      </c>
      <c r="O181" s="188">
        <f t="shared" si="162"/>
        <v>0</v>
      </c>
      <c r="P181" s="188">
        <f t="shared" si="162"/>
        <v>0</v>
      </c>
      <c r="Q181" s="188">
        <f t="shared" si="162"/>
        <v>0</v>
      </c>
      <c r="R181" s="188">
        <f t="shared" si="162"/>
        <v>0</v>
      </c>
      <c r="S181" s="188">
        <f t="shared" si="162"/>
        <v>0</v>
      </c>
      <c r="T181" s="188">
        <f t="shared" si="163"/>
        <v>0</v>
      </c>
      <c r="U181" s="188">
        <f t="shared" si="163"/>
        <v>0</v>
      </c>
      <c r="V181" s="188">
        <f t="shared" si="163"/>
        <v>0</v>
      </c>
      <c r="W181" s="188">
        <f t="shared" si="163"/>
        <v>0</v>
      </c>
      <c r="X181" s="188">
        <f t="shared" si="163"/>
        <v>0</v>
      </c>
      <c r="Y181" s="188">
        <f t="shared" si="163"/>
        <v>0</v>
      </c>
      <c r="Z181" s="188">
        <f t="shared" si="163"/>
        <v>0</v>
      </c>
      <c r="AA181" s="188">
        <f t="shared" si="163"/>
        <v>0</v>
      </c>
      <c r="AB181" s="188">
        <f t="shared" si="163"/>
        <v>0</v>
      </c>
      <c r="AC181" s="188">
        <f t="shared" si="163"/>
        <v>0</v>
      </c>
      <c r="AD181" s="188">
        <f t="shared" si="164"/>
        <v>0</v>
      </c>
      <c r="AE181" s="188">
        <f t="shared" si="164"/>
        <v>0</v>
      </c>
      <c r="AF181" s="188">
        <f t="shared" si="164"/>
        <v>0</v>
      </c>
      <c r="AG181" s="188">
        <f t="shared" si="164"/>
        <v>0</v>
      </c>
      <c r="AH181" s="188">
        <f t="shared" si="164"/>
        <v>0</v>
      </c>
      <c r="AI181" s="188">
        <f t="shared" si="164"/>
        <v>0</v>
      </c>
      <c r="AJ181" s="188">
        <f t="shared" si="164"/>
        <v>0</v>
      </c>
      <c r="AK181" s="188">
        <f t="shared" si="164"/>
        <v>0</v>
      </c>
      <c r="AL181" s="188">
        <f t="shared" si="164"/>
        <v>0</v>
      </c>
      <c r="AM181" s="188">
        <f t="shared" si="164"/>
        <v>0</v>
      </c>
      <c r="AN181" s="188">
        <f t="shared" si="165"/>
        <v>0</v>
      </c>
      <c r="AO181" s="188">
        <f t="shared" si="165"/>
        <v>0</v>
      </c>
      <c r="AP181" s="188">
        <f t="shared" si="165"/>
        <v>0</v>
      </c>
      <c r="AQ181" s="188">
        <f t="shared" si="165"/>
        <v>0</v>
      </c>
      <c r="AR181" s="188">
        <f t="shared" si="165"/>
        <v>0</v>
      </c>
      <c r="AS181" s="188">
        <f t="shared" si="165"/>
        <v>0</v>
      </c>
      <c r="AT181" s="188">
        <f t="shared" si="165"/>
        <v>0</v>
      </c>
      <c r="AU181" s="188">
        <f t="shared" si="165"/>
        <v>0</v>
      </c>
      <c r="AV181" s="188">
        <f t="shared" si="165"/>
        <v>0</v>
      </c>
    </row>
    <row r="182" spans="1:48">
      <c r="A182" s="4" t="s">
        <v>16</v>
      </c>
      <c r="B182" s="96" t="str">
        <f t="shared" si="160"/>
        <v>CNO</v>
      </c>
      <c r="C182" s="96" t="str">
        <f t="shared" si="161"/>
        <v>Commercial - Other</v>
      </c>
      <c r="E182" s="123"/>
      <c r="F182" s="123"/>
      <c r="I182" s="185"/>
      <c r="J182" s="188">
        <f t="shared" si="162"/>
        <v>0</v>
      </c>
      <c r="K182" s="188">
        <f t="shared" si="162"/>
        <v>0</v>
      </c>
      <c r="L182" s="188">
        <f t="shared" si="162"/>
        <v>0</v>
      </c>
      <c r="M182" s="188">
        <f t="shared" si="162"/>
        <v>0</v>
      </c>
      <c r="N182" s="188">
        <f t="shared" si="162"/>
        <v>0</v>
      </c>
      <c r="O182" s="188">
        <f t="shared" si="162"/>
        <v>0</v>
      </c>
      <c r="P182" s="188">
        <f t="shared" si="162"/>
        <v>0</v>
      </c>
      <c r="Q182" s="188">
        <f t="shared" si="162"/>
        <v>0</v>
      </c>
      <c r="R182" s="188">
        <f t="shared" si="162"/>
        <v>0</v>
      </c>
      <c r="S182" s="188">
        <f t="shared" si="162"/>
        <v>0</v>
      </c>
      <c r="T182" s="188">
        <f t="shared" si="163"/>
        <v>0</v>
      </c>
      <c r="U182" s="188">
        <f t="shared" si="163"/>
        <v>0</v>
      </c>
      <c r="V182" s="188">
        <f t="shared" si="163"/>
        <v>0</v>
      </c>
      <c r="W182" s="188">
        <f t="shared" si="163"/>
        <v>0</v>
      </c>
      <c r="X182" s="188">
        <f t="shared" si="163"/>
        <v>0</v>
      </c>
      <c r="Y182" s="188">
        <f t="shared" si="163"/>
        <v>0</v>
      </c>
      <c r="Z182" s="188">
        <f t="shared" si="163"/>
        <v>0</v>
      </c>
      <c r="AA182" s="188">
        <f t="shared" si="163"/>
        <v>0</v>
      </c>
      <c r="AB182" s="188">
        <f t="shared" si="163"/>
        <v>0</v>
      </c>
      <c r="AC182" s="188">
        <f t="shared" si="163"/>
        <v>0</v>
      </c>
      <c r="AD182" s="188">
        <f t="shared" si="164"/>
        <v>0</v>
      </c>
      <c r="AE182" s="188">
        <f t="shared" si="164"/>
        <v>0</v>
      </c>
      <c r="AF182" s="188">
        <f t="shared" si="164"/>
        <v>0</v>
      </c>
      <c r="AG182" s="188">
        <f t="shared" si="164"/>
        <v>0</v>
      </c>
      <c r="AH182" s="188">
        <f t="shared" si="164"/>
        <v>0</v>
      </c>
      <c r="AI182" s="188">
        <f t="shared" si="164"/>
        <v>0</v>
      </c>
      <c r="AJ182" s="188">
        <f t="shared" si="164"/>
        <v>0</v>
      </c>
      <c r="AK182" s="188">
        <f t="shared" si="164"/>
        <v>0</v>
      </c>
      <c r="AL182" s="188">
        <f t="shared" si="164"/>
        <v>0</v>
      </c>
      <c r="AM182" s="188">
        <f t="shared" si="164"/>
        <v>0</v>
      </c>
      <c r="AN182" s="188">
        <f t="shared" si="165"/>
        <v>0</v>
      </c>
      <c r="AO182" s="188">
        <f t="shared" si="165"/>
        <v>0</v>
      </c>
      <c r="AP182" s="188">
        <f t="shared" si="165"/>
        <v>0</v>
      </c>
      <c r="AQ182" s="188">
        <f t="shared" si="165"/>
        <v>0</v>
      </c>
      <c r="AR182" s="188">
        <f t="shared" si="165"/>
        <v>0</v>
      </c>
      <c r="AS182" s="188">
        <f t="shared" si="165"/>
        <v>0</v>
      </c>
      <c r="AT182" s="188">
        <f t="shared" si="165"/>
        <v>0</v>
      </c>
      <c r="AU182" s="188">
        <f t="shared" si="165"/>
        <v>0</v>
      </c>
      <c r="AV182" s="188">
        <f t="shared" si="165"/>
        <v>0</v>
      </c>
    </row>
    <row r="183" spans="1:48">
      <c r="A183" s="4" t="s">
        <v>16</v>
      </c>
      <c r="E183" s="123"/>
      <c r="F183" s="123"/>
      <c r="I183" s="185"/>
      <c r="J183" s="188"/>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c r="AH183" s="188"/>
      <c r="AI183" s="188"/>
      <c r="AJ183" s="188"/>
      <c r="AK183" s="188"/>
      <c r="AL183" s="188"/>
      <c r="AM183" s="188"/>
      <c r="AN183" s="188"/>
      <c r="AO183" s="188"/>
      <c r="AP183" s="188"/>
      <c r="AQ183" s="188"/>
      <c r="AR183" s="188"/>
      <c r="AS183" s="188"/>
      <c r="AT183" s="188"/>
      <c r="AU183" s="188"/>
      <c r="AV183" s="188"/>
    </row>
    <row r="184" spans="1:48">
      <c r="A184" s="4" t="s">
        <v>16</v>
      </c>
      <c r="E184" s="123"/>
      <c r="F184" s="123"/>
      <c r="I184" s="185"/>
      <c r="J184" s="188"/>
      <c r="K184" s="188"/>
      <c r="L184" s="188"/>
      <c r="M184" s="188"/>
      <c r="N184" s="188"/>
      <c r="O184" s="188"/>
      <c r="P184" s="188"/>
      <c r="Q184" s="188"/>
      <c r="R184" s="188"/>
      <c r="S184" s="188"/>
      <c r="T184" s="188"/>
      <c r="U184" s="188"/>
      <c r="V184" s="188"/>
      <c r="W184" s="188"/>
      <c r="X184" s="188"/>
      <c r="Y184" s="188"/>
      <c r="Z184" s="188"/>
      <c r="AA184" s="188"/>
      <c r="AB184" s="188"/>
      <c r="AC184" s="188"/>
      <c r="AD184" s="188"/>
      <c r="AE184" s="188"/>
      <c r="AF184" s="188"/>
      <c r="AG184" s="188"/>
      <c r="AH184" s="188"/>
      <c r="AI184" s="188"/>
      <c r="AJ184" s="188"/>
      <c r="AK184" s="188"/>
      <c r="AL184" s="188"/>
      <c r="AM184" s="188"/>
      <c r="AN184" s="188"/>
      <c r="AO184" s="188"/>
      <c r="AP184" s="188"/>
      <c r="AQ184" s="188"/>
      <c r="AR184" s="188"/>
      <c r="AS184" s="188"/>
      <c r="AT184" s="188"/>
      <c r="AU184" s="188"/>
      <c r="AV184" s="188"/>
    </row>
    <row r="185" spans="1:48" ht="15.75" thickBot="1">
      <c r="A185" s="4" t="s">
        <v>16</v>
      </c>
      <c r="B185" s="94" t="s">
        <v>496</v>
      </c>
      <c r="C185" s="94"/>
      <c r="D185" s="94"/>
      <c r="E185" s="94"/>
      <c r="F185" s="94"/>
      <c r="G185" s="94"/>
      <c r="H185" s="94"/>
      <c r="I185" s="185" t="s">
        <v>231</v>
      </c>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c r="AH185" s="188"/>
      <c r="AI185" s="188"/>
      <c r="AJ185" s="188"/>
      <c r="AK185" s="188"/>
      <c r="AL185" s="188"/>
      <c r="AM185" s="188"/>
      <c r="AN185" s="188"/>
      <c r="AO185" s="188"/>
      <c r="AP185" s="188"/>
      <c r="AQ185" s="188"/>
      <c r="AR185" s="188"/>
      <c r="AS185" s="188"/>
      <c r="AT185" s="188"/>
      <c r="AU185" s="188"/>
      <c r="AV185" s="188"/>
    </row>
    <row r="186" spans="1:48">
      <c r="A186" s="4" t="s">
        <v>16</v>
      </c>
      <c r="B186" s="96" t="str">
        <f t="shared" ref="B186:C194" si="166">B174</f>
        <v>CNC</v>
      </c>
      <c r="C186" s="96" t="str">
        <f t="shared" si="166"/>
        <v>Commercial - Cooling</v>
      </c>
      <c r="E186" s="123"/>
      <c r="F186" s="123"/>
      <c r="I186" s="185"/>
      <c r="J186" s="188">
        <f t="shared" ref="J186:S194" si="167">INDEX(J$49:J$52,MATCH($I$185,$B$49:$B$52,0),1)*INDEX(J$81:J$89,MATCH($B186,$B$81:$B$89,0))*INDEX(J$116:J$124,MATCH($B186,$B$116:$B$124,0))/1000</f>
        <v>0</v>
      </c>
      <c r="K186" s="188">
        <f t="shared" si="167"/>
        <v>0</v>
      </c>
      <c r="L186" s="188">
        <f t="shared" si="167"/>
        <v>0</v>
      </c>
      <c r="M186" s="188">
        <f t="shared" si="167"/>
        <v>0</v>
      </c>
      <c r="N186" s="188">
        <f t="shared" si="167"/>
        <v>0</v>
      </c>
      <c r="O186" s="188">
        <f t="shared" si="167"/>
        <v>0</v>
      </c>
      <c r="P186" s="188">
        <f>INDEX(P$49:P$52,MATCH($I$185,$B$49:$B$52,0),1)*INDEX(P$81:P$89,MATCH($B186,$B$81:$B$89,0))*INDEX(P$116:P$124,MATCH($B186,$B$116:$B$124,0))/1000</f>
        <v>1.5826011087333609</v>
      </c>
      <c r="Q186" s="188">
        <f t="shared" si="167"/>
        <v>3.2727888378763019</v>
      </c>
      <c r="R186" s="188">
        <f t="shared" si="167"/>
        <v>4.2350555604682834</v>
      </c>
      <c r="S186" s="188">
        <f t="shared" si="167"/>
        <v>6.0488138591626592</v>
      </c>
      <c r="T186" s="188">
        <f t="shared" ref="T186:AC194" si="168">INDEX(T$49:T$52,MATCH($I$185,$B$49:$B$52,0),1)*INDEX(T$81:T$89,MATCH($B186,$B$81:$B$89,0))*INDEX(T$116:T$124,MATCH($B186,$B$116:$B$124,0))/1000</f>
        <v>7.7403712998837166</v>
      </c>
      <c r="U186" s="188">
        <f t="shared" si="168"/>
        <v>9.3203688741353421</v>
      </c>
      <c r="V186" s="188">
        <f>INDEX(V$49:V$52,MATCH($I$185,$B$49:$B$52,0),1)*INDEX(V$81:V$89,MATCH($B186,$B$81:$B$89,0))*INDEX(V$116:V$124,MATCH($B186,$B$116:$B$124,0))/1000</f>
        <v>10.777329015219186</v>
      </c>
      <c r="W186" s="188">
        <f t="shared" si="168"/>
        <v>12.16194619481365</v>
      </c>
      <c r="X186" s="188">
        <f t="shared" si="168"/>
        <v>13.582060883437038</v>
      </c>
      <c r="Y186" s="188">
        <f t="shared" si="168"/>
        <v>14.877739889458754</v>
      </c>
      <c r="Z186" s="188">
        <f t="shared" si="168"/>
        <v>16.100264002882231</v>
      </c>
      <c r="AA186" s="188">
        <f t="shared" si="168"/>
        <v>17.236212604013634</v>
      </c>
      <c r="AB186" s="188">
        <f t="shared" si="168"/>
        <v>18.28145879548449</v>
      </c>
      <c r="AC186" s="188">
        <f t="shared" si="168"/>
        <v>18.28145879548449</v>
      </c>
      <c r="AD186" s="188">
        <f t="shared" ref="AD186:AM194" si="169">INDEX(AD$49:AD$52,MATCH($I$185,$B$49:$B$52,0),1)*INDEX(AD$81:AD$89,MATCH($B186,$B$81:$B$89,0))*INDEX(AD$116:AD$124,MATCH($B186,$B$116:$B$124,0))/1000</f>
        <v>18.28145879548449</v>
      </c>
      <c r="AE186" s="188">
        <f t="shared" si="169"/>
        <v>18.28145879548449</v>
      </c>
      <c r="AF186" s="188">
        <f t="shared" si="169"/>
        <v>18.28145879548449</v>
      </c>
      <c r="AG186" s="188">
        <f t="shared" si="169"/>
        <v>18.28145879548449</v>
      </c>
      <c r="AH186" s="188">
        <f t="shared" si="169"/>
        <v>18.28145879548449</v>
      </c>
      <c r="AI186" s="188">
        <f t="shared" si="169"/>
        <v>18.28145879548449</v>
      </c>
      <c r="AJ186" s="188">
        <f t="shared" si="169"/>
        <v>18.28145879548449</v>
      </c>
      <c r="AK186" s="188">
        <f t="shared" si="169"/>
        <v>18.28145879548449</v>
      </c>
      <c r="AL186" s="188">
        <f t="shared" si="169"/>
        <v>18.28145879548449</v>
      </c>
      <c r="AM186" s="188">
        <f t="shared" si="169"/>
        <v>18.28145879548449</v>
      </c>
      <c r="AN186" s="188">
        <f t="shared" ref="AN186:AV194" si="170">INDEX(AN$49:AN$52,MATCH($I$185,$B$49:$B$52,0),1)*INDEX(AN$81:AN$89,MATCH($B186,$B$81:$B$89,0))*INDEX(AN$116:AN$124,MATCH($B186,$B$116:$B$124,0))/1000</f>
        <v>18.28145879548449</v>
      </c>
      <c r="AO186" s="188">
        <f t="shared" si="170"/>
        <v>18.28145879548449</v>
      </c>
      <c r="AP186" s="188">
        <f t="shared" si="170"/>
        <v>18.28145879548449</v>
      </c>
      <c r="AQ186" s="188">
        <f t="shared" si="170"/>
        <v>18.28145879548449</v>
      </c>
      <c r="AR186" s="188">
        <f t="shared" si="170"/>
        <v>18.28145879548449</v>
      </c>
      <c r="AS186" s="188">
        <f t="shared" si="170"/>
        <v>18.28145879548449</v>
      </c>
      <c r="AT186" s="188">
        <f t="shared" si="170"/>
        <v>18.28145879548449</v>
      </c>
      <c r="AU186" s="188">
        <f t="shared" si="170"/>
        <v>18.28145879548449</v>
      </c>
      <c r="AV186" s="188">
        <f t="shared" si="170"/>
        <v>18.28145879548449</v>
      </c>
    </row>
    <row r="187" spans="1:48">
      <c r="A187" s="4" t="s">
        <v>16</v>
      </c>
      <c r="B187" s="96" t="str">
        <f t="shared" si="166"/>
        <v>CNH</v>
      </c>
      <c r="C187" s="96" t="str">
        <f t="shared" si="166"/>
        <v>Commercial - Space Heating</v>
      </c>
      <c r="E187" s="123"/>
      <c r="F187" s="123"/>
      <c r="I187" s="185"/>
      <c r="J187" s="188">
        <f t="shared" si="167"/>
        <v>0</v>
      </c>
      <c r="K187" s="188">
        <f t="shared" si="167"/>
        <v>0</v>
      </c>
      <c r="L187" s="188">
        <f t="shared" si="167"/>
        <v>0</v>
      </c>
      <c r="M187" s="188">
        <f t="shared" si="167"/>
        <v>0</v>
      </c>
      <c r="N187" s="188">
        <f t="shared" si="167"/>
        <v>0</v>
      </c>
      <c r="O187" s="188">
        <f t="shared" si="167"/>
        <v>0</v>
      </c>
      <c r="P187" s="188">
        <f t="shared" si="167"/>
        <v>0.15092687254753431</v>
      </c>
      <c r="Q187" s="188">
        <f t="shared" si="167"/>
        <v>0.31211388712123755</v>
      </c>
      <c r="R187" s="188">
        <f t="shared" si="167"/>
        <v>0.40388174081218448</v>
      </c>
      <c r="S187" s="188">
        <f t="shared" si="167"/>
        <v>0.57685322811145179</v>
      </c>
      <c r="T187" s="188">
        <f t="shared" si="168"/>
        <v>0.73817086706272961</v>
      </c>
      <c r="U187" s="188">
        <f t="shared" si="168"/>
        <v>0.88884945006040228</v>
      </c>
      <c r="V187" s="188">
        <f t="shared" si="168"/>
        <v>1.0277944035971733</v>
      </c>
      <c r="W187" s="188">
        <f t="shared" si="168"/>
        <v>1.1598402738032385</v>
      </c>
      <c r="X187" s="188">
        <f t="shared" si="168"/>
        <v>1.2952714114600838</v>
      </c>
      <c r="Y187" s="188">
        <f t="shared" si="168"/>
        <v>1.4188355737276477</v>
      </c>
      <c r="Z187" s="188">
        <f t="shared" si="168"/>
        <v>1.5354232217677954</v>
      </c>
      <c r="AA187" s="188">
        <f t="shared" si="168"/>
        <v>1.6437544802241517</v>
      </c>
      <c r="AB187" s="188">
        <f t="shared" si="168"/>
        <v>1.743435782006618</v>
      </c>
      <c r="AC187" s="188">
        <f t="shared" si="168"/>
        <v>1.743435782006618</v>
      </c>
      <c r="AD187" s="188">
        <f t="shared" si="169"/>
        <v>1.743435782006618</v>
      </c>
      <c r="AE187" s="188">
        <f t="shared" si="169"/>
        <v>1.743435782006618</v>
      </c>
      <c r="AF187" s="188">
        <f t="shared" si="169"/>
        <v>1.743435782006618</v>
      </c>
      <c r="AG187" s="188">
        <f t="shared" si="169"/>
        <v>1.743435782006618</v>
      </c>
      <c r="AH187" s="188">
        <f t="shared" si="169"/>
        <v>1.743435782006618</v>
      </c>
      <c r="AI187" s="188">
        <f t="shared" si="169"/>
        <v>1.743435782006618</v>
      </c>
      <c r="AJ187" s="188">
        <f t="shared" si="169"/>
        <v>1.743435782006618</v>
      </c>
      <c r="AK187" s="188">
        <f t="shared" si="169"/>
        <v>1.743435782006618</v>
      </c>
      <c r="AL187" s="188">
        <f t="shared" si="169"/>
        <v>1.743435782006618</v>
      </c>
      <c r="AM187" s="188">
        <f t="shared" si="169"/>
        <v>1.743435782006618</v>
      </c>
      <c r="AN187" s="188">
        <f t="shared" si="170"/>
        <v>1.743435782006618</v>
      </c>
      <c r="AO187" s="188">
        <f t="shared" si="170"/>
        <v>1.743435782006618</v>
      </c>
      <c r="AP187" s="188">
        <f t="shared" si="170"/>
        <v>1.743435782006618</v>
      </c>
      <c r="AQ187" s="188">
        <f t="shared" si="170"/>
        <v>1.743435782006618</v>
      </c>
      <c r="AR187" s="188">
        <f t="shared" si="170"/>
        <v>1.743435782006618</v>
      </c>
      <c r="AS187" s="188">
        <f t="shared" si="170"/>
        <v>1.743435782006618</v>
      </c>
      <c r="AT187" s="188">
        <f t="shared" si="170"/>
        <v>1.743435782006618</v>
      </c>
      <c r="AU187" s="188">
        <f t="shared" si="170"/>
        <v>1.743435782006618</v>
      </c>
      <c r="AV187" s="188">
        <f t="shared" si="170"/>
        <v>1.743435782006618</v>
      </c>
    </row>
    <row r="188" spans="1:48">
      <c r="A188" s="4" t="s">
        <v>16</v>
      </c>
      <c r="B188" s="96" t="str">
        <f t="shared" si="166"/>
        <v>CNK</v>
      </c>
      <c r="C188" s="96" t="str">
        <f t="shared" si="166"/>
        <v>Commercial - Cooking</v>
      </c>
      <c r="E188" s="123"/>
      <c r="F188" s="123"/>
      <c r="I188" s="185"/>
      <c r="J188" s="188">
        <f t="shared" si="167"/>
        <v>0</v>
      </c>
      <c r="K188" s="188">
        <f t="shared" si="167"/>
        <v>0</v>
      </c>
      <c r="L188" s="188">
        <f t="shared" si="167"/>
        <v>0</v>
      </c>
      <c r="M188" s="188">
        <f t="shared" si="167"/>
        <v>0</v>
      </c>
      <c r="N188" s="188">
        <f t="shared" si="167"/>
        <v>0</v>
      </c>
      <c r="O188" s="188">
        <f t="shared" si="167"/>
        <v>0</v>
      </c>
      <c r="P188" s="188">
        <f t="shared" si="167"/>
        <v>0.1128855701047503</v>
      </c>
      <c r="Q188" s="188">
        <f t="shared" si="167"/>
        <v>0.23344520091472726</v>
      </c>
      <c r="R188" s="188">
        <f t="shared" si="167"/>
        <v>0.30208285507355981</v>
      </c>
      <c r="S188" s="188">
        <f t="shared" si="167"/>
        <v>0.43145666787482001</v>
      </c>
      <c r="T188" s="188">
        <f t="shared" si="168"/>
        <v>0.55211399902856739</v>
      </c>
      <c r="U188" s="188">
        <f t="shared" si="168"/>
        <v>0.66481386126755415</v>
      </c>
      <c r="V188" s="188">
        <f t="shared" si="168"/>
        <v>0.76873756967300377</v>
      </c>
      <c r="W188" s="188">
        <f t="shared" si="168"/>
        <v>0.867501117122083</v>
      </c>
      <c r="X188" s="188">
        <f t="shared" si="168"/>
        <v>0.96879667122900903</v>
      </c>
      <c r="Y188" s="188">
        <f t="shared" si="168"/>
        <v>1.0612163355780249</v>
      </c>
      <c r="Z188" s="188">
        <f t="shared" si="168"/>
        <v>1.148417924625986</v>
      </c>
      <c r="AA188" s="188">
        <f t="shared" si="168"/>
        <v>1.2294441571622712</v>
      </c>
      <c r="AB188" s="188">
        <f t="shared" si="168"/>
        <v>1.3040006651622194</v>
      </c>
      <c r="AC188" s="188">
        <f t="shared" si="168"/>
        <v>1.3040006651622194</v>
      </c>
      <c r="AD188" s="188">
        <f t="shared" si="169"/>
        <v>1.3040006651622194</v>
      </c>
      <c r="AE188" s="188">
        <f t="shared" si="169"/>
        <v>1.3040006651622194</v>
      </c>
      <c r="AF188" s="188">
        <f t="shared" si="169"/>
        <v>1.3040006651622194</v>
      </c>
      <c r="AG188" s="188">
        <f t="shared" si="169"/>
        <v>1.3040006651622194</v>
      </c>
      <c r="AH188" s="188">
        <f t="shared" si="169"/>
        <v>1.3040006651622194</v>
      </c>
      <c r="AI188" s="188">
        <f t="shared" si="169"/>
        <v>1.3040006651622194</v>
      </c>
      <c r="AJ188" s="188">
        <f t="shared" si="169"/>
        <v>1.3040006651622194</v>
      </c>
      <c r="AK188" s="188">
        <f t="shared" si="169"/>
        <v>1.3040006651622194</v>
      </c>
      <c r="AL188" s="188">
        <f t="shared" si="169"/>
        <v>1.3040006651622194</v>
      </c>
      <c r="AM188" s="188">
        <f t="shared" si="169"/>
        <v>1.3040006651622194</v>
      </c>
      <c r="AN188" s="188">
        <f t="shared" si="170"/>
        <v>1.3040006651622194</v>
      </c>
      <c r="AO188" s="188">
        <f t="shared" si="170"/>
        <v>1.3040006651622194</v>
      </c>
      <c r="AP188" s="188">
        <f t="shared" si="170"/>
        <v>1.3040006651622194</v>
      </c>
      <c r="AQ188" s="188">
        <f t="shared" si="170"/>
        <v>1.3040006651622194</v>
      </c>
      <c r="AR188" s="188">
        <f t="shared" si="170"/>
        <v>1.3040006651622194</v>
      </c>
      <c r="AS188" s="188">
        <f t="shared" si="170"/>
        <v>1.3040006651622194</v>
      </c>
      <c r="AT188" s="188">
        <f t="shared" si="170"/>
        <v>1.3040006651622194</v>
      </c>
      <c r="AU188" s="188">
        <f t="shared" si="170"/>
        <v>1.3040006651622194</v>
      </c>
      <c r="AV188" s="188">
        <f t="shared" si="170"/>
        <v>1.3040006651622194</v>
      </c>
    </row>
    <row r="189" spans="1:48">
      <c r="A189" s="4" t="s">
        <v>16</v>
      </c>
      <c r="B189" s="96" t="str">
        <f t="shared" si="166"/>
        <v>CNL</v>
      </c>
      <c r="C189" s="96" t="str">
        <f t="shared" si="166"/>
        <v>Commercial - Lighting</v>
      </c>
      <c r="E189" s="123"/>
      <c r="F189" s="123"/>
      <c r="I189" s="185"/>
      <c r="J189" s="188">
        <f t="shared" si="167"/>
        <v>0</v>
      </c>
      <c r="K189" s="188">
        <f t="shared" si="167"/>
        <v>0</v>
      </c>
      <c r="L189" s="188">
        <f t="shared" si="167"/>
        <v>0</v>
      </c>
      <c r="M189" s="188">
        <f t="shared" si="167"/>
        <v>0</v>
      </c>
      <c r="N189" s="188">
        <f t="shared" si="167"/>
        <v>0</v>
      </c>
      <c r="O189" s="188">
        <f t="shared" si="167"/>
        <v>0</v>
      </c>
      <c r="P189" s="188">
        <f t="shared" si="167"/>
        <v>1.3772283906971867</v>
      </c>
      <c r="Q189" s="188">
        <f t="shared" si="167"/>
        <v>2.848081983139509</v>
      </c>
      <c r="R189" s="188">
        <f t="shared" si="167"/>
        <v>3.6854762213107977</v>
      </c>
      <c r="S189" s="188">
        <f t="shared" si="167"/>
        <v>5.2638647419809068</v>
      </c>
      <c r="T189" s="188">
        <f t="shared" si="168"/>
        <v>6.7359102997656253</v>
      </c>
      <c r="U189" s="188">
        <f t="shared" si="168"/>
        <v>8.1108730143018271</v>
      </c>
      <c r="V189" s="188">
        <f t="shared" si="168"/>
        <v>9.3787647523663935</v>
      </c>
      <c r="W189" s="188">
        <f t="shared" si="168"/>
        <v>10.583701409785258</v>
      </c>
      <c r="X189" s="188">
        <f t="shared" si="168"/>
        <v>11.819529096512694</v>
      </c>
      <c r="Y189" s="188">
        <f t="shared" si="168"/>
        <v>12.947069006902119</v>
      </c>
      <c r="Z189" s="188">
        <f t="shared" si="168"/>
        <v>14.010947269104445</v>
      </c>
      <c r="AA189" s="188">
        <f t="shared" si="168"/>
        <v>14.999484845135242</v>
      </c>
      <c r="AB189" s="188">
        <f t="shared" si="168"/>
        <v>15.909090381374188</v>
      </c>
      <c r="AC189" s="188">
        <f t="shared" si="168"/>
        <v>15.909090381374188</v>
      </c>
      <c r="AD189" s="188">
        <f t="shared" si="169"/>
        <v>15.909090381374188</v>
      </c>
      <c r="AE189" s="188">
        <f t="shared" si="169"/>
        <v>15.909090381374188</v>
      </c>
      <c r="AF189" s="188">
        <f t="shared" si="169"/>
        <v>15.909090381374188</v>
      </c>
      <c r="AG189" s="188">
        <f t="shared" si="169"/>
        <v>15.909090381374188</v>
      </c>
      <c r="AH189" s="188">
        <f t="shared" si="169"/>
        <v>15.909090381374188</v>
      </c>
      <c r="AI189" s="188">
        <f t="shared" si="169"/>
        <v>15.909090381374188</v>
      </c>
      <c r="AJ189" s="188">
        <f t="shared" si="169"/>
        <v>15.909090381374188</v>
      </c>
      <c r="AK189" s="188">
        <f t="shared" si="169"/>
        <v>15.909090381374188</v>
      </c>
      <c r="AL189" s="188">
        <f t="shared" si="169"/>
        <v>15.909090381374188</v>
      </c>
      <c r="AM189" s="188">
        <f t="shared" si="169"/>
        <v>15.909090381374188</v>
      </c>
      <c r="AN189" s="188">
        <f t="shared" si="170"/>
        <v>15.909090381374188</v>
      </c>
      <c r="AO189" s="188">
        <f t="shared" si="170"/>
        <v>15.909090381374188</v>
      </c>
      <c r="AP189" s="188">
        <f t="shared" si="170"/>
        <v>15.909090381374188</v>
      </c>
      <c r="AQ189" s="188">
        <f t="shared" si="170"/>
        <v>15.909090381374188</v>
      </c>
      <c r="AR189" s="188">
        <f t="shared" si="170"/>
        <v>15.909090381374188</v>
      </c>
      <c r="AS189" s="188">
        <f t="shared" si="170"/>
        <v>15.909090381374188</v>
      </c>
      <c r="AT189" s="188">
        <f t="shared" si="170"/>
        <v>15.909090381374188</v>
      </c>
      <c r="AU189" s="188">
        <f t="shared" si="170"/>
        <v>15.909090381374188</v>
      </c>
      <c r="AV189" s="188">
        <f t="shared" si="170"/>
        <v>15.909090381374188</v>
      </c>
    </row>
    <row r="190" spans="1:48">
      <c r="A190" s="4" t="s">
        <v>16</v>
      </c>
      <c r="B190" s="96" t="str">
        <f t="shared" si="166"/>
        <v>CNR</v>
      </c>
      <c r="C190" s="96" t="str">
        <f t="shared" si="166"/>
        <v>Commercial - Refrigeration</v>
      </c>
      <c r="E190" s="123"/>
      <c r="F190" s="123"/>
      <c r="I190" s="185"/>
      <c r="J190" s="188">
        <f t="shared" si="167"/>
        <v>0</v>
      </c>
      <c r="K190" s="188">
        <f t="shared" si="167"/>
        <v>0</v>
      </c>
      <c r="L190" s="188">
        <f t="shared" si="167"/>
        <v>0</v>
      </c>
      <c r="M190" s="188">
        <f t="shared" si="167"/>
        <v>0</v>
      </c>
      <c r="N190" s="188">
        <f t="shared" si="167"/>
        <v>0</v>
      </c>
      <c r="O190" s="188">
        <f t="shared" si="167"/>
        <v>0</v>
      </c>
      <c r="P190" s="188">
        <f t="shared" si="167"/>
        <v>0.3350302874487357</v>
      </c>
      <c r="Q190" s="188">
        <f t="shared" si="167"/>
        <v>0.69283622958553637</v>
      </c>
      <c r="R190" s="188">
        <f t="shared" si="167"/>
        <v>0.89654422327597971</v>
      </c>
      <c r="S190" s="188">
        <f t="shared" si="167"/>
        <v>1.2805095578260435</v>
      </c>
      <c r="T190" s="188">
        <f t="shared" si="168"/>
        <v>1.6386054623931785</v>
      </c>
      <c r="U190" s="188">
        <f t="shared" si="168"/>
        <v>1.9730845920669164</v>
      </c>
      <c r="V190" s="188">
        <f t="shared" si="168"/>
        <v>2.2815171921548463</v>
      </c>
      <c r="W190" s="188">
        <f t="shared" si="168"/>
        <v>2.5746350783525034</v>
      </c>
      <c r="X190" s="188">
        <f t="shared" si="168"/>
        <v>2.8752676443946563</v>
      </c>
      <c r="Y190" s="188">
        <f t="shared" si="168"/>
        <v>3.1495576770714151</v>
      </c>
      <c r="Z190" s="188">
        <f t="shared" si="168"/>
        <v>3.4083611133087937</v>
      </c>
      <c r="AA190" s="188">
        <f t="shared" si="168"/>
        <v>3.6488368619127112</v>
      </c>
      <c r="AB190" s="188">
        <f t="shared" si="168"/>
        <v>3.8701112753139801</v>
      </c>
      <c r="AC190" s="188">
        <f t="shared" si="168"/>
        <v>3.8701112753139801</v>
      </c>
      <c r="AD190" s="188">
        <f t="shared" si="169"/>
        <v>3.8701112753139801</v>
      </c>
      <c r="AE190" s="188">
        <f t="shared" si="169"/>
        <v>3.8701112753139801</v>
      </c>
      <c r="AF190" s="188">
        <f t="shared" si="169"/>
        <v>3.8701112753139801</v>
      </c>
      <c r="AG190" s="188">
        <f t="shared" si="169"/>
        <v>3.8701112753139801</v>
      </c>
      <c r="AH190" s="188">
        <f t="shared" si="169"/>
        <v>3.8701112753139801</v>
      </c>
      <c r="AI190" s="188">
        <f t="shared" si="169"/>
        <v>3.8701112753139801</v>
      </c>
      <c r="AJ190" s="188">
        <f t="shared" si="169"/>
        <v>3.8701112753139801</v>
      </c>
      <c r="AK190" s="188">
        <f t="shared" si="169"/>
        <v>3.8701112753139801</v>
      </c>
      <c r="AL190" s="188">
        <f t="shared" si="169"/>
        <v>3.8701112753139801</v>
      </c>
      <c r="AM190" s="188">
        <f t="shared" si="169"/>
        <v>3.8701112753139801</v>
      </c>
      <c r="AN190" s="188">
        <f t="shared" si="170"/>
        <v>3.8701112753139801</v>
      </c>
      <c r="AO190" s="188">
        <f t="shared" si="170"/>
        <v>3.8701112753139801</v>
      </c>
      <c r="AP190" s="188">
        <f t="shared" si="170"/>
        <v>3.8701112753139801</v>
      </c>
      <c r="AQ190" s="188">
        <f t="shared" si="170"/>
        <v>3.8701112753139801</v>
      </c>
      <c r="AR190" s="188">
        <f t="shared" si="170"/>
        <v>3.8701112753139801</v>
      </c>
      <c r="AS190" s="188">
        <f t="shared" si="170"/>
        <v>3.8701112753139801</v>
      </c>
      <c r="AT190" s="188">
        <f t="shared" si="170"/>
        <v>3.8701112753139801</v>
      </c>
      <c r="AU190" s="188">
        <f t="shared" si="170"/>
        <v>3.8701112753139801</v>
      </c>
      <c r="AV190" s="188">
        <f t="shared" si="170"/>
        <v>3.8701112753139801</v>
      </c>
    </row>
    <row r="191" spans="1:48">
      <c r="A191" s="4" t="s">
        <v>16</v>
      </c>
      <c r="B191" s="96" t="str">
        <f t="shared" si="166"/>
        <v>CNW</v>
      </c>
      <c r="C191" s="96" t="str">
        <f t="shared" si="166"/>
        <v>Commercial - Water Heating</v>
      </c>
      <c r="E191" s="123"/>
      <c r="F191" s="123"/>
      <c r="I191" s="185"/>
      <c r="J191" s="188">
        <f t="shared" si="167"/>
        <v>0</v>
      </c>
      <c r="K191" s="188">
        <f t="shared" si="167"/>
        <v>0</v>
      </c>
      <c r="L191" s="188">
        <f t="shared" si="167"/>
        <v>0</v>
      </c>
      <c r="M191" s="188">
        <f t="shared" si="167"/>
        <v>0</v>
      </c>
      <c r="N191" s="188">
        <f t="shared" si="167"/>
        <v>0</v>
      </c>
      <c r="O191" s="188">
        <f t="shared" si="167"/>
        <v>0</v>
      </c>
      <c r="P191" s="188">
        <f t="shared" si="167"/>
        <v>0.17464786244388691</v>
      </c>
      <c r="Q191" s="188">
        <f t="shared" si="167"/>
        <v>0.36116844074675197</v>
      </c>
      <c r="R191" s="188">
        <f t="shared" si="167"/>
        <v>0.46735933450650663</v>
      </c>
      <c r="S191" s="188">
        <f t="shared" si="167"/>
        <v>0.66751653653852128</v>
      </c>
      <c r="T191" s="188">
        <f t="shared" si="168"/>
        <v>0.85418826929083191</v>
      </c>
      <c r="U191" s="188">
        <f t="shared" si="168"/>
        <v>1.0285488188233827</v>
      </c>
      <c r="V191" s="188">
        <f t="shared" si="168"/>
        <v>1.1893315788644716</v>
      </c>
      <c r="W191" s="188">
        <f t="shared" si="168"/>
        <v>1.3421309351803521</v>
      </c>
      <c r="X191" s="188">
        <f t="shared" si="168"/>
        <v>1.4988476172454521</v>
      </c>
      <c r="Y191" s="188">
        <f t="shared" si="168"/>
        <v>1.6418322060760655</v>
      </c>
      <c r="Z191" s="188">
        <f t="shared" si="168"/>
        <v>1.7767437905664885</v>
      </c>
      <c r="AA191" s="188">
        <f t="shared" si="168"/>
        <v>1.9021013389334969</v>
      </c>
      <c r="AB191" s="188">
        <f t="shared" si="168"/>
        <v>2.0174494276341952</v>
      </c>
      <c r="AC191" s="188">
        <f t="shared" si="168"/>
        <v>2.0174494276341952</v>
      </c>
      <c r="AD191" s="188">
        <f t="shared" si="169"/>
        <v>2.0174494276341952</v>
      </c>
      <c r="AE191" s="188">
        <f t="shared" si="169"/>
        <v>2.0174494276341952</v>
      </c>
      <c r="AF191" s="188">
        <f t="shared" si="169"/>
        <v>2.0174494276341952</v>
      </c>
      <c r="AG191" s="188">
        <f t="shared" si="169"/>
        <v>2.0174494276341952</v>
      </c>
      <c r="AH191" s="188">
        <f t="shared" si="169"/>
        <v>2.0174494276341952</v>
      </c>
      <c r="AI191" s="188">
        <f t="shared" si="169"/>
        <v>2.0174494276341952</v>
      </c>
      <c r="AJ191" s="188">
        <f t="shared" si="169"/>
        <v>2.0174494276341952</v>
      </c>
      <c r="AK191" s="188">
        <f t="shared" si="169"/>
        <v>2.0174494276341952</v>
      </c>
      <c r="AL191" s="188">
        <f t="shared" si="169"/>
        <v>2.0174494276341952</v>
      </c>
      <c r="AM191" s="188">
        <f t="shared" si="169"/>
        <v>2.0174494276341952</v>
      </c>
      <c r="AN191" s="188">
        <f t="shared" si="170"/>
        <v>2.0174494276341952</v>
      </c>
      <c r="AO191" s="188">
        <f t="shared" si="170"/>
        <v>2.0174494276341952</v>
      </c>
      <c r="AP191" s="188">
        <f t="shared" si="170"/>
        <v>2.0174494276341952</v>
      </c>
      <c r="AQ191" s="188">
        <f t="shared" si="170"/>
        <v>2.0174494276341952</v>
      </c>
      <c r="AR191" s="188">
        <f t="shared" si="170"/>
        <v>2.0174494276341952</v>
      </c>
      <c r="AS191" s="188">
        <f t="shared" si="170"/>
        <v>2.0174494276341952</v>
      </c>
      <c r="AT191" s="188">
        <f t="shared" si="170"/>
        <v>2.0174494276341952</v>
      </c>
      <c r="AU191" s="188">
        <f t="shared" si="170"/>
        <v>2.0174494276341952</v>
      </c>
      <c r="AV191" s="188">
        <f t="shared" si="170"/>
        <v>2.0174494276341952</v>
      </c>
    </row>
    <row r="192" spans="1:48">
      <c r="A192" s="4" t="s">
        <v>16</v>
      </c>
      <c r="B192" s="96" t="str">
        <f t="shared" si="166"/>
        <v>CNG</v>
      </c>
      <c r="C192" s="96" t="str">
        <f t="shared" si="166"/>
        <v>Commercial - Public lights</v>
      </c>
      <c r="E192" s="123"/>
      <c r="F192" s="123"/>
      <c r="I192" s="185"/>
      <c r="J192" s="188">
        <f t="shared" si="167"/>
        <v>0</v>
      </c>
      <c r="K192" s="188">
        <f t="shared" si="167"/>
        <v>0</v>
      </c>
      <c r="L192" s="188">
        <f t="shared" si="167"/>
        <v>0</v>
      </c>
      <c r="M192" s="188">
        <f t="shared" si="167"/>
        <v>0</v>
      </c>
      <c r="N192" s="188">
        <f t="shared" si="167"/>
        <v>0</v>
      </c>
      <c r="O192" s="188">
        <f t="shared" si="167"/>
        <v>0</v>
      </c>
      <c r="P192" s="188">
        <f t="shared" si="167"/>
        <v>0</v>
      </c>
      <c r="Q192" s="188">
        <f t="shared" si="167"/>
        <v>0</v>
      </c>
      <c r="R192" s="188">
        <f t="shared" si="167"/>
        <v>0</v>
      </c>
      <c r="S192" s="188">
        <f t="shared" si="167"/>
        <v>0</v>
      </c>
      <c r="T192" s="188">
        <f t="shared" si="168"/>
        <v>0</v>
      </c>
      <c r="U192" s="188">
        <f t="shared" si="168"/>
        <v>0</v>
      </c>
      <c r="V192" s="188">
        <f t="shared" si="168"/>
        <v>0</v>
      </c>
      <c r="W192" s="188">
        <f t="shared" si="168"/>
        <v>0</v>
      </c>
      <c r="X192" s="188">
        <f t="shared" si="168"/>
        <v>0</v>
      </c>
      <c r="Y192" s="188">
        <f t="shared" si="168"/>
        <v>0</v>
      </c>
      <c r="Z192" s="188">
        <f t="shared" si="168"/>
        <v>0</v>
      </c>
      <c r="AA192" s="188">
        <f t="shared" si="168"/>
        <v>0</v>
      </c>
      <c r="AB192" s="188">
        <f t="shared" si="168"/>
        <v>0</v>
      </c>
      <c r="AC192" s="188">
        <f t="shared" si="168"/>
        <v>0</v>
      </c>
      <c r="AD192" s="188">
        <f t="shared" si="169"/>
        <v>0</v>
      </c>
      <c r="AE192" s="188">
        <f t="shared" si="169"/>
        <v>0</v>
      </c>
      <c r="AF192" s="188">
        <f t="shared" si="169"/>
        <v>0</v>
      </c>
      <c r="AG192" s="188">
        <f t="shared" si="169"/>
        <v>0</v>
      </c>
      <c r="AH192" s="188">
        <f t="shared" si="169"/>
        <v>0</v>
      </c>
      <c r="AI192" s="188">
        <f t="shared" si="169"/>
        <v>0</v>
      </c>
      <c r="AJ192" s="188">
        <f t="shared" si="169"/>
        <v>0</v>
      </c>
      <c r="AK192" s="188">
        <f t="shared" si="169"/>
        <v>0</v>
      </c>
      <c r="AL192" s="188">
        <f t="shared" si="169"/>
        <v>0</v>
      </c>
      <c r="AM192" s="188">
        <f t="shared" si="169"/>
        <v>0</v>
      </c>
      <c r="AN192" s="188">
        <f t="shared" si="170"/>
        <v>0</v>
      </c>
      <c r="AO192" s="188">
        <f t="shared" si="170"/>
        <v>0</v>
      </c>
      <c r="AP192" s="188">
        <f t="shared" si="170"/>
        <v>0</v>
      </c>
      <c r="AQ192" s="188">
        <f t="shared" si="170"/>
        <v>0</v>
      </c>
      <c r="AR192" s="188">
        <f t="shared" si="170"/>
        <v>0</v>
      </c>
      <c r="AS192" s="188">
        <f t="shared" si="170"/>
        <v>0</v>
      </c>
      <c r="AT192" s="188">
        <f t="shared" si="170"/>
        <v>0</v>
      </c>
      <c r="AU192" s="188">
        <f t="shared" si="170"/>
        <v>0</v>
      </c>
      <c r="AV192" s="188">
        <f t="shared" si="170"/>
        <v>0</v>
      </c>
    </row>
    <row r="193" spans="1:48">
      <c r="A193" s="4" t="s">
        <v>16</v>
      </c>
      <c r="B193" s="96" t="str">
        <f t="shared" si="166"/>
        <v>CNT</v>
      </c>
      <c r="C193" s="96" t="str">
        <f t="shared" si="166"/>
        <v>Commercial - Public Water</v>
      </c>
      <c r="E193" s="123"/>
      <c r="F193" s="123"/>
      <c r="I193" s="185"/>
      <c r="J193" s="188">
        <f t="shared" si="167"/>
        <v>0</v>
      </c>
      <c r="K193" s="188">
        <f t="shared" si="167"/>
        <v>0</v>
      </c>
      <c r="L193" s="188">
        <f t="shared" si="167"/>
        <v>0</v>
      </c>
      <c r="M193" s="188">
        <f t="shared" si="167"/>
        <v>0</v>
      </c>
      <c r="N193" s="188">
        <f t="shared" si="167"/>
        <v>0</v>
      </c>
      <c r="O193" s="188">
        <f t="shared" si="167"/>
        <v>0</v>
      </c>
      <c r="P193" s="188">
        <f t="shared" si="167"/>
        <v>0</v>
      </c>
      <c r="Q193" s="188">
        <f t="shared" si="167"/>
        <v>0</v>
      </c>
      <c r="R193" s="188">
        <f t="shared" si="167"/>
        <v>0</v>
      </c>
      <c r="S193" s="188">
        <f t="shared" si="167"/>
        <v>0</v>
      </c>
      <c r="T193" s="188">
        <f t="shared" si="168"/>
        <v>0</v>
      </c>
      <c r="U193" s="188">
        <f t="shared" si="168"/>
        <v>0</v>
      </c>
      <c r="V193" s="188">
        <f t="shared" si="168"/>
        <v>0</v>
      </c>
      <c r="W193" s="188">
        <f t="shared" si="168"/>
        <v>0</v>
      </c>
      <c r="X193" s="188">
        <f t="shared" si="168"/>
        <v>0</v>
      </c>
      <c r="Y193" s="188">
        <f t="shared" si="168"/>
        <v>0</v>
      </c>
      <c r="Z193" s="188">
        <f t="shared" si="168"/>
        <v>0</v>
      </c>
      <c r="AA193" s="188">
        <f t="shared" si="168"/>
        <v>0</v>
      </c>
      <c r="AB193" s="188">
        <f t="shared" si="168"/>
        <v>0</v>
      </c>
      <c r="AC193" s="188">
        <f t="shared" si="168"/>
        <v>0</v>
      </c>
      <c r="AD193" s="188">
        <f t="shared" si="169"/>
        <v>0</v>
      </c>
      <c r="AE193" s="188">
        <f t="shared" si="169"/>
        <v>0</v>
      </c>
      <c r="AF193" s="188">
        <f t="shared" si="169"/>
        <v>0</v>
      </c>
      <c r="AG193" s="188">
        <f t="shared" si="169"/>
        <v>0</v>
      </c>
      <c r="AH193" s="188">
        <f t="shared" si="169"/>
        <v>0</v>
      </c>
      <c r="AI193" s="188">
        <f t="shared" si="169"/>
        <v>0</v>
      </c>
      <c r="AJ193" s="188">
        <f t="shared" si="169"/>
        <v>0</v>
      </c>
      <c r="AK193" s="188">
        <f t="shared" si="169"/>
        <v>0</v>
      </c>
      <c r="AL193" s="188">
        <f t="shared" si="169"/>
        <v>0</v>
      </c>
      <c r="AM193" s="188">
        <f t="shared" si="169"/>
        <v>0</v>
      </c>
      <c r="AN193" s="188">
        <f t="shared" si="170"/>
        <v>0</v>
      </c>
      <c r="AO193" s="188">
        <f t="shared" si="170"/>
        <v>0</v>
      </c>
      <c r="AP193" s="188">
        <f t="shared" si="170"/>
        <v>0</v>
      </c>
      <c r="AQ193" s="188">
        <f t="shared" si="170"/>
        <v>0</v>
      </c>
      <c r="AR193" s="188">
        <f t="shared" si="170"/>
        <v>0</v>
      </c>
      <c r="AS193" s="188">
        <f t="shared" si="170"/>
        <v>0</v>
      </c>
      <c r="AT193" s="188">
        <f t="shared" si="170"/>
        <v>0</v>
      </c>
      <c r="AU193" s="188">
        <f t="shared" si="170"/>
        <v>0</v>
      </c>
      <c r="AV193" s="188">
        <f t="shared" si="170"/>
        <v>0</v>
      </c>
    </row>
    <row r="194" spans="1:48">
      <c r="A194" s="4" t="s">
        <v>16</v>
      </c>
      <c r="B194" s="96" t="str">
        <f t="shared" si="166"/>
        <v>CNO</v>
      </c>
      <c r="C194" s="96" t="str">
        <f t="shared" si="166"/>
        <v>Commercial - Other</v>
      </c>
      <c r="E194" s="123"/>
      <c r="F194" s="123"/>
      <c r="I194" s="185"/>
      <c r="J194" s="188">
        <f t="shared" si="167"/>
        <v>0</v>
      </c>
      <c r="K194" s="188">
        <f t="shared" si="167"/>
        <v>0</v>
      </c>
      <c r="L194" s="188">
        <f t="shared" si="167"/>
        <v>0</v>
      </c>
      <c r="M194" s="188">
        <f t="shared" si="167"/>
        <v>0</v>
      </c>
      <c r="N194" s="188">
        <f t="shared" si="167"/>
        <v>0</v>
      </c>
      <c r="O194" s="188">
        <f t="shared" si="167"/>
        <v>0</v>
      </c>
      <c r="P194" s="188">
        <f t="shared" si="167"/>
        <v>0.22366371570704255</v>
      </c>
      <c r="Q194" s="188">
        <f t="shared" si="167"/>
        <v>0.46253228824653669</v>
      </c>
      <c r="R194" s="188">
        <f t="shared" si="167"/>
        <v>0.59852622221288887</v>
      </c>
      <c r="S194" s="188">
        <f t="shared" si="167"/>
        <v>0.85485860959832971</v>
      </c>
      <c r="T194" s="188">
        <f t="shared" si="168"/>
        <v>1.0939207588889821</v>
      </c>
      <c r="U194" s="188">
        <f t="shared" si="168"/>
        <v>1.3172165257850814</v>
      </c>
      <c r="V194" s="188">
        <f t="shared" si="168"/>
        <v>1.5231238242152458</v>
      </c>
      <c r="W194" s="188">
        <f t="shared" si="168"/>
        <v>1.7188071341225437</v>
      </c>
      <c r="X194" s="188">
        <f t="shared" si="168"/>
        <v>1.9195071881253309</v>
      </c>
      <c r="Y194" s="188">
        <f t="shared" si="168"/>
        <v>2.1026211637514209</v>
      </c>
      <c r="Z194" s="188">
        <f t="shared" si="168"/>
        <v>2.2753964033496019</v>
      </c>
      <c r="AA194" s="188">
        <f t="shared" si="168"/>
        <v>2.4359362156745239</v>
      </c>
      <c r="AB194" s="188">
        <f t="shared" si="168"/>
        <v>2.5836573601391053</v>
      </c>
      <c r="AC194" s="188">
        <f t="shared" si="168"/>
        <v>2.5836573601391053</v>
      </c>
      <c r="AD194" s="188">
        <f t="shared" si="169"/>
        <v>2.5836573601391053</v>
      </c>
      <c r="AE194" s="188">
        <f t="shared" si="169"/>
        <v>2.5836573601391053</v>
      </c>
      <c r="AF194" s="188">
        <f t="shared" si="169"/>
        <v>2.5836573601391053</v>
      </c>
      <c r="AG194" s="188">
        <f t="shared" si="169"/>
        <v>2.5836573601391053</v>
      </c>
      <c r="AH194" s="188">
        <f t="shared" si="169"/>
        <v>2.5836573601391053</v>
      </c>
      <c r="AI194" s="188">
        <f t="shared" si="169"/>
        <v>2.5836573601391053</v>
      </c>
      <c r="AJ194" s="188">
        <f t="shared" si="169"/>
        <v>2.5836573601391053</v>
      </c>
      <c r="AK194" s="188">
        <f t="shared" si="169"/>
        <v>2.5836573601391053</v>
      </c>
      <c r="AL194" s="188">
        <f t="shared" si="169"/>
        <v>2.5836573601391053</v>
      </c>
      <c r="AM194" s="188">
        <f t="shared" si="169"/>
        <v>2.5836573601391053</v>
      </c>
      <c r="AN194" s="188">
        <f t="shared" si="170"/>
        <v>2.5836573601391053</v>
      </c>
      <c r="AO194" s="188">
        <f t="shared" si="170"/>
        <v>2.5836573601391053</v>
      </c>
      <c r="AP194" s="188">
        <f t="shared" si="170"/>
        <v>2.5836573601391053</v>
      </c>
      <c r="AQ194" s="188">
        <f t="shared" si="170"/>
        <v>2.5836573601391053</v>
      </c>
      <c r="AR194" s="188">
        <f t="shared" si="170"/>
        <v>2.5836573601391053</v>
      </c>
      <c r="AS194" s="188">
        <f t="shared" si="170"/>
        <v>2.5836573601391053</v>
      </c>
      <c r="AT194" s="188">
        <f t="shared" si="170"/>
        <v>2.5836573601391053</v>
      </c>
      <c r="AU194" s="188">
        <f t="shared" si="170"/>
        <v>2.5836573601391053</v>
      </c>
      <c r="AV194" s="188">
        <f t="shared" si="170"/>
        <v>2.5836573601391053</v>
      </c>
    </row>
    <row r="195" spans="1:48">
      <c r="A195" s="4" t="s">
        <v>16</v>
      </c>
      <c r="E195" s="123"/>
      <c r="F195" s="123"/>
      <c r="I195" s="185"/>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c r="AH195" s="188"/>
      <c r="AI195" s="188"/>
      <c r="AJ195" s="188"/>
      <c r="AK195" s="188"/>
      <c r="AL195" s="188"/>
      <c r="AM195" s="188"/>
      <c r="AN195" s="188"/>
      <c r="AO195" s="188"/>
      <c r="AP195" s="188"/>
      <c r="AQ195" s="188"/>
      <c r="AR195" s="188"/>
      <c r="AS195" s="188"/>
      <c r="AT195" s="188"/>
      <c r="AU195" s="188"/>
      <c r="AV195" s="188"/>
    </row>
    <row r="196" spans="1:48">
      <c r="A196" s="4" t="s">
        <v>16</v>
      </c>
      <c r="E196" s="123"/>
      <c r="F196" s="123"/>
      <c r="I196" s="185" t="s">
        <v>112</v>
      </c>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c r="AH196" s="188"/>
      <c r="AI196" s="188"/>
      <c r="AJ196" s="188"/>
      <c r="AK196" s="188"/>
      <c r="AL196" s="188"/>
      <c r="AM196" s="188"/>
      <c r="AN196" s="188"/>
      <c r="AO196" s="188"/>
      <c r="AP196" s="188"/>
      <c r="AQ196" s="188"/>
      <c r="AR196" s="188"/>
      <c r="AS196" s="188"/>
      <c r="AT196" s="188"/>
      <c r="AU196" s="188"/>
      <c r="AV196" s="188"/>
    </row>
    <row r="197" spans="1:48">
      <c r="A197" s="4" t="s">
        <v>16</v>
      </c>
      <c r="B197" s="96" t="str">
        <f t="shared" ref="B197:C205" si="171">B186</f>
        <v>CNC</v>
      </c>
      <c r="C197" s="96" t="str">
        <f t="shared" si="171"/>
        <v>Commercial - Cooling</v>
      </c>
      <c r="E197" s="123"/>
      <c r="F197" s="123"/>
      <c r="I197" s="185"/>
      <c r="J197" s="188">
        <f t="shared" ref="J197:S205" si="172">INDEX(J$49:J$52,MATCH($I$196,$B$49:$B$52,0),1)*INDEX(J$81:J$89,MATCH($B197,$B$81:$B$89,0))*INDEX(J$127:J$135,MATCH($B197,$B$127:$B$135,0))/1000</f>
        <v>0</v>
      </c>
      <c r="K197" s="188">
        <f t="shared" si="172"/>
        <v>0</v>
      </c>
      <c r="L197" s="188">
        <f t="shared" si="172"/>
        <v>0</v>
      </c>
      <c r="M197" s="188">
        <f t="shared" si="172"/>
        <v>0</v>
      </c>
      <c r="N197" s="188">
        <f t="shared" si="172"/>
        <v>0</v>
      </c>
      <c r="O197" s="188">
        <f t="shared" si="172"/>
        <v>0</v>
      </c>
      <c r="P197" s="188">
        <f t="shared" si="172"/>
        <v>0</v>
      </c>
      <c r="Q197" s="188">
        <f t="shared" si="172"/>
        <v>0</v>
      </c>
      <c r="R197" s="188">
        <f t="shared" si="172"/>
        <v>0</v>
      </c>
      <c r="S197" s="188">
        <f t="shared" si="172"/>
        <v>0</v>
      </c>
      <c r="T197" s="188">
        <f t="shared" ref="T197:AC205" si="173">INDEX(T$49:T$52,MATCH($I$196,$B$49:$B$52,0),1)*INDEX(T$81:T$89,MATCH($B197,$B$81:$B$89,0))*INDEX(T$127:T$135,MATCH($B197,$B$127:$B$135,0))/1000</f>
        <v>0</v>
      </c>
      <c r="U197" s="188">
        <f t="shared" si="173"/>
        <v>0</v>
      </c>
      <c r="V197" s="188">
        <f t="shared" si="173"/>
        <v>0</v>
      </c>
      <c r="W197" s="188">
        <f t="shared" si="173"/>
        <v>0</v>
      </c>
      <c r="X197" s="188">
        <f t="shared" si="173"/>
        <v>0</v>
      </c>
      <c r="Y197" s="188">
        <f t="shared" si="173"/>
        <v>0</v>
      </c>
      <c r="Z197" s="188">
        <f t="shared" si="173"/>
        <v>0</v>
      </c>
      <c r="AA197" s="188">
        <f t="shared" si="173"/>
        <v>0</v>
      </c>
      <c r="AB197" s="188">
        <f t="shared" si="173"/>
        <v>0</v>
      </c>
      <c r="AC197" s="188">
        <f t="shared" si="173"/>
        <v>1.714786330360814</v>
      </c>
      <c r="AD197" s="188">
        <f t="shared" ref="AD197:AM205" si="174">INDEX(AD$49:AD$52,MATCH($I$196,$B$49:$B$52,0),1)*INDEX(AD$81:AD$89,MATCH($B197,$B$81:$B$89,0))*INDEX(AD$127:AD$135,MATCH($B197,$B$127:$B$135,0))/1000</f>
        <v>3.3995109247490882</v>
      </c>
      <c r="AE197" s="188">
        <f t="shared" si="174"/>
        <v>5.1600112719467308</v>
      </c>
      <c r="AF197" s="188">
        <f t="shared" si="174"/>
        <v>6.9791342169177613</v>
      </c>
      <c r="AG197" s="188">
        <f t="shared" si="174"/>
        <v>8.8505764141734105</v>
      </c>
      <c r="AH197" s="188">
        <f t="shared" si="174"/>
        <v>10.756429694335891</v>
      </c>
      <c r="AI197" s="188">
        <f t="shared" si="174"/>
        <v>12.690611032304988</v>
      </c>
      <c r="AJ197" s="188">
        <f t="shared" si="174"/>
        <v>14.625913569487084</v>
      </c>
      <c r="AK197" s="188">
        <f t="shared" si="174"/>
        <v>16.590972437876516</v>
      </c>
      <c r="AL197" s="188">
        <f t="shared" si="174"/>
        <v>18.610955624924845</v>
      </c>
      <c r="AM197" s="188">
        <f t="shared" si="174"/>
        <v>18.610955624924845</v>
      </c>
      <c r="AN197" s="188">
        <f t="shared" ref="AN197:AV205" si="175">INDEX(AN$49:AN$52,MATCH($I$196,$B$49:$B$52,0),1)*INDEX(AN$81:AN$89,MATCH($B197,$B$81:$B$89,0))*INDEX(AN$127:AN$135,MATCH($B197,$B$127:$B$135,0))/1000</f>
        <v>18.610955624924845</v>
      </c>
      <c r="AO197" s="188">
        <f t="shared" si="175"/>
        <v>18.610955624924845</v>
      </c>
      <c r="AP197" s="188">
        <f t="shared" si="175"/>
        <v>18.610955624924845</v>
      </c>
      <c r="AQ197" s="188">
        <f t="shared" si="175"/>
        <v>18.610955624924845</v>
      </c>
      <c r="AR197" s="188">
        <f t="shared" si="175"/>
        <v>18.610955624924845</v>
      </c>
      <c r="AS197" s="188">
        <f t="shared" si="175"/>
        <v>18.610955624924845</v>
      </c>
      <c r="AT197" s="188">
        <f t="shared" si="175"/>
        <v>18.610955624924845</v>
      </c>
      <c r="AU197" s="188">
        <f t="shared" si="175"/>
        <v>18.610955624924845</v>
      </c>
      <c r="AV197" s="188">
        <f t="shared" si="175"/>
        <v>18.610955624924845</v>
      </c>
    </row>
    <row r="198" spans="1:48">
      <c r="A198" s="4" t="s">
        <v>16</v>
      </c>
      <c r="B198" s="96" t="str">
        <f t="shared" si="171"/>
        <v>CNH</v>
      </c>
      <c r="C198" s="96" t="str">
        <f t="shared" si="171"/>
        <v>Commercial - Space Heating</v>
      </c>
      <c r="E198" s="123"/>
      <c r="F198" s="123"/>
      <c r="I198" s="185"/>
      <c r="J198" s="188">
        <f t="shared" si="172"/>
        <v>0</v>
      </c>
      <c r="K198" s="188">
        <f t="shared" si="172"/>
        <v>0</v>
      </c>
      <c r="L198" s="188">
        <f t="shared" si="172"/>
        <v>0</v>
      </c>
      <c r="M198" s="188">
        <f t="shared" si="172"/>
        <v>0</v>
      </c>
      <c r="N198" s="188">
        <f t="shared" si="172"/>
        <v>0</v>
      </c>
      <c r="O198" s="188">
        <f t="shared" si="172"/>
        <v>0</v>
      </c>
      <c r="P198" s="188">
        <f t="shared" si="172"/>
        <v>0</v>
      </c>
      <c r="Q198" s="188">
        <f t="shared" si="172"/>
        <v>0</v>
      </c>
      <c r="R198" s="188">
        <f t="shared" si="172"/>
        <v>0</v>
      </c>
      <c r="S198" s="188">
        <f t="shared" si="172"/>
        <v>0</v>
      </c>
      <c r="T198" s="188">
        <f t="shared" si="173"/>
        <v>0</v>
      </c>
      <c r="U198" s="188">
        <f t="shared" si="173"/>
        <v>0</v>
      </c>
      <c r="V198" s="188">
        <f t="shared" si="173"/>
        <v>0</v>
      </c>
      <c r="W198" s="188">
        <f t="shared" si="173"/>
        <v>0</v>
      </c>
      <c r="X198" s="188">
        <f t="shared" si="173"/>
        <v>0</v>
      </c>
      <c r="Y198" s="188">
        <f t="shared" si="173"/>
        <v>0</v>
      </c>
      <c r="Z198" s="188">
        <f t="shared" si="173"/>
        <v>0</v>
      </c>
      <c r="AA198" s="188">
        <f t="shared" si="173"/>
        <v>0</v>
      </c>
      <c r="AB198" s="188">
        <f t="shared" si="173"/>
        <v>0</v>
      </c>
      <c r="AC198" s="188">
        <f t="shared" si="173"/>
        <v>0.1635328930963266</v>
      </c>
      <c r="AD198" s="188">
        <f t="shared" si="174"/>
        <v>0.32419890851346561</v>
      </c>
      <c r="AE198" s="188">
        <f t="shared" si="174"/>
        <v>0.49209137999925129</v>
      </c>
      <c r="AF198" s="188">
        <f t="shared" si="174"/>
        <v>0.66557447396958114</v>
      </c>
      <c r="AG198" s="188">
        <f t="shared" si="174"/>
        <v>0.84404706344687608</v>
      </c>
      <c r="AH198" s="188">
        <f t="shared" si="174"/>
        <v>1.0258013118939786</v>
      </c>
      <c r="AI198" s="188">
        <f t="shared" si="174"/>
        <v>1.2102571034819927</v>
      </c>
      <c r="AJ198" s="188">
        <f t="shared" si="174"/>
        <v>1.394819819733327</v>
      </c>
      <c r="AK198" s="188">
        <f t="shared" si="174"/>
        <v>1.5822202883297267</v>
      </c>
      <c r="AL198" s="188">
        <f t="shared" si="174"/>
        <v>1.7748586880739359</v>
      </c>
      <c r="AM198" s="188">
        <f t="shared" si="174"/>
        <v>1.7748586880739359</v>
      </c>
      <c r="AN198" s="188">
        <f t="shared" si="175"/>
        <v>1.7748586880739359</v>
      </c>
      <c r="AO198" s="188">
        <f t="shared" si="175"/>
        <v>1.7748586880739359</v>
      </c>
      <c r="AP198" s="188">
        <f t="shared" si="175"/>
        <v>1.7748586880739359</v>
      </c>
      <c r="AQ198" s="188">
        <f t="shared" si="175"/>
        <v>1.7748586880739359</v>
      </c>
      <c r="AR198" s="188">
        <f t="shared" si="175"/>
        <v>1.7748586880739359</v>
      </c>
      <c r="AS198" s="188">
        <f t="shared" si="175"/>
        <v>1.7748586880739359</v>
      </c>
      <c r="AT198" s="188">
        <f t="shared" si="175"/>
        <v>1.7748586880739359</v>
      </c>
      <c r="AU198" s="188">
        <f t="shared" si="175"/>
        <v>1.7748586880739359</v>
      </c>
      <c r="AV198" s="188">
        <f t="shared" si="175"/>
        <v>1.7748586880739359</v>
      </c>
    </row>
    <row r="199" spans="1:48">
      <c r="A199" s="4" t="s">
        <v>16</v>
      </c>
      <c r="B199" s="96" t="str">
        <f t="shared" si="171"/>
        <v>CNK</v>
      </c>
      <c r="C199" s="96" t="str">
        <f t="shared" si="171"/>
        <v>Commercial - Cooking</v>
      </c>
      <c r="E199" s="123"/>
      <c r="F199" s="123"/>
      <c r="I199" s="185"/>
      <c r="J199" s="188">
        <f t="shared" si="172"/>
        <v>0</v>
      </c>
      <c r="K199" s="188">
        <f t="shared" si="172"/>
        <v>0</v>
      </c>
      <c r="L199" s="188">
        <f t="shared" si="172"/>
        <v>0</v>
      </c>
      <c r="M199" s="188">
        <f t="shared" si="172"/>
        <v>0</v>
      </c>
      <c r="N199" s="188">
        <f t="shared" si="172"/>
        <v>0</v>
      </c>
      <c r="O199" s="188">
        <f t="shared" si="172"/>
        <v>0</v>
      </c>
      <c r="P199" s="188">
        <f t="shared" si="172"/>
        <v>0</v>
      </c>
      <c r="Q199" s="188">
        <f t="shared" si="172"/>
        <v>0</v>
      </c>
      <c r="R199" s="188">
        <f t="shared" si="172"/>
        <v>0</v>
      </c>
      <c r="S199" s="188">
        <f t="shared" si="172"/>
        <v>0</v>
      </c>
      <c r="T199" s="188">
        <f t="shared" si="173"/>
        <v>0</v>
      </c>
      <c r="U199" s="188">
        <f t="shared" si="173"/>
        <v>0</v>
      </c>
      <c r="V199" s="188">
        <f t="shared" si="173"/>
        <v>0</v>
      </c>
      <c r="W199" s="188">
        <f t="shared" si="173"/>
        <v>0</v>
      </c>
      <c r="X199" s="188">
        <f t="shared" si="173"/>
        <v>0</v>
      </c>
      <c r="Y199" s="188">
        <f t="shared" si="173"/>
        <v>0</v>
      </c>
      <c r="Z199" s="188">
        <f t="shared" si="173"/>
        <v>0</v>
      </c>
      <c r="AA199" s="188">
        <f t="shared" si="173"/>
        <v>0</v>
      </c>
      <c r="AB199" s="188">
        <f t="shared" si="173"/>
        <v>0</v>
      </c>
      <c r="AC199" s="188">
        <f t="shared" si="173"/>
        <v>0.12231422778765848</v>
      </c>
      <c r="AD199" s="188">
        <f t="shared" si="174"/>
        <v>0.24248417791440041</v>
      </c>
      <c r="AE199" s="188">
        <f t="shared" si="174"/>
        <v>0.36805914703727366</v>
      </c>
      <c r="AF199" s="188">
        <f t="shared" si="174"/>
        <v>0.49781561542370217</v>
      </c>
      <c r="AG199" s="188">
        <f t="shared" si="174"/>
        <v>0.63130397088452461</v>
      </c>
      <c r="AH199" s="188">
        <f t="shared" si="174"/>
        <v>0.7672468391663122</v>
      </c>
      <c r="AI199" s="188">
        <f t="shared" si="174"/>
        <v>0.9052103233429154</v>
      </c>
      <c r="AJ199" s="188">
        <f t="shared" si="174"/>
        <v>1.0432537816909397</v>
      </c>
      <c r="AK199" s="188">
        <f t="shared" si="174"/>
        <v>1.1834197334417735</v>
      </c>
      <c r="AL199" s="188">
        <f t="shared" si="174"/>
        <v>1.3275033894013371</v>
      </c>
      <c r="AM199" s="188">
        <f t="shared" si="174"/>
        <v>1.3275033894013371</v>
      </c>
      <c r="AN199" s="188">
        <f t="shared" si="175"/>
        <v>1.3275033894013371</v>
      </c>
      <c r="AO199" s="188">
        <f t="shared" si="175"/>
        <v>1.3275033894013371</v>
      </c>
      <c r="AP199" s="188">
        <f t="shared" si="175"/>
        <v>1.3275033894013371</v>
      </c>
      <c r="AQ199" s="188">
        <f t="shared" si="175"/>
        <v>1.3275033894013371</v>
      </c>
      <c r="AR199" s="188">
        <f t="shared" si="175"/>
        <v>1.3275033894013371</v>
      </c>
      <c r="AS199" s="188">
        <f t="shared" si="175"/>
        <v>1.3275033894013371</v>
      </c>
      <c r="AT199" s="188">
        <f t="shared" si="175"/>
        <v>1.3275033894013371</v>
      </c>
      <c r="AU199" s="188">
        <f t="shared" si="175"/>
        <v>1.3275033894013371</v>
      </c>
      <c r="AV199" s="188">
        <f t="shared" si="175"/>
        <v>1.3275033894013371</v>
      </c>
    </row>
    <row r="200" spans="1:48">
      <c r="A200" s="4" t="s">
        <v>16</v>
      </c>
      <c r="B200" s="96" t="str">
        <f t="shared" si="171"/>
        <v>CNL</v>
      </c>
      <c r="C200" s="96" t="str">
        <f t="shared" si="171"/>
        <v>Commercial - Lighting</v>
      </c>
      <c r="E200" s="123"/>
      <c r="F200" s="123"/>
      <c r="I200" s="185"/>
      <c r="J200" s="188">
        <f t="shared" si="172"/>
        <v>0</v>
      </c>
      <c r="K200" s="188">
        <f t="shared" si="172"/>
        <v>0</v>
      </c>
      <c r="L200" s="188">
        <f t="shared" si="172"/>
        <v>0</v>
      </c>
      <c r="M200" s="188">
        <f t="shared" si="172"/>
        <v>0</v>
      </c>
      <c r="N200" s="188">
        <f t="shared" si="172"/>
        <v>0</v>
      </c>
      <c r="O200" s="188">
        <f t="shared" si="172"/>
        <v>0</v>
      </c>
      <c r="P200" s="188">
        <f t="shared" si="172"/>
        <v>0</v>
      </c>
      <c r="Q200" s="188">
        <f t="shared" si="172"/>
        <v>0</v>
      </c>
      <c r="R200" s="188">
        <f t="shared" si="172"/>
        <v>0</v>
      </c>
      <c r="S200" s="188">
        <f t="shared" si="172"/>
        <v>0</v>
      </c>
      <c r="T200" s="188">
        <f t="shared" si="173"/>
        <v>0</v>
      </c>
      <c r="U200" s="188">
        <f t="shared" si="173"/>
        <v>0</v>
      </c>
      <c r="V200" s="188">
        <f t="shared" si="173"/>
        <v>0</v>
      </c>
      <c r="W200" s="188">
        <f t="shared" si="173"/>
        <v>0</v>
      </c>
      <c r="X200" s="188">
        <f t="shared" si="173"/>
        <v>0</v>
      </c>
      <c r="Y200" s="188">
        <f t="shared" si="173"/>
        <v>0</v>
      </c>
      <c r="Z200" s="188">
        <f t="shared" si="173"/>
        <v>0</v>
      </c>
      <c r="AA200" s="188">
        <f t="shared" si="173"/>
        <v>0</v>
      </c>
      <c r="AB200" s="188">
        <f t="shared" si="173"/>
        <v>0</v>
      </c>
      <c r="AC200" s="188">
        <f t="shared" si="173"/>
        <v>1.4922600553733427</v>
      </c>
      <c r="AD200" s="188">
        <f t="shared" si="174"/>
        <v>2.9583594591291962</v>
      </c>
      <c r="AE200" s="188">
        <f t="shared" si="174"/>
        <v>4.4904012646182583</v>
      </c>
      <c r="AF200" s="188">
        <f t="shared" si="174"/>
        <v>6.0734582662577559</v>
      </c>
      <c r="AG200" s="188">
        <f t="shared" si="174"/>
        <v>7.7020450980160362</v>
      </c>
      <c r="AH200" s="188">
        <f t="shared" si="174"/>
        <v>9.3605775174984736</v>
      </c>
      <c r="AI200" s="188">
        <f t="shared" si="174"/>
        <v>11.043761888283917</v>
      </c>
      <c r="AJ200" s="188">
        <f t="shared" si="174"/>
        <v>12.727921961272054</v>
      </c>
      <c r="AK200" s="188">
        <f t="shared" si="174"/>
        <v>14.437976913213316</v>
      </c>
      <c r="AL200" s="188">
        <f t="shared" si="174"/>
        <v>16.195828704534573</v>
      </c>
      <c r="AM200" s="188">
        <f t="shared" si="174"/>
        <v>16.195828704534573</v>
      </c>
      <c r="AN200" s="188">
        <f t="shared" si="175"/>
        <v>16.195828704534573</v>
      </c>
      <c r="AO200" s="188">
        <f t="shared" si="175"/>
        <v>16.195828704534573</v>
      </c>
      <c r="AP200" s="188">
        <f t="shared" si="175"/>
        <v>16.195828704534573</v>
      </c>
      <c r="AQ200" s="188">
        <f t="shared" si="175"/>
        <v>16.195828704534573</v>
      </c>
      <c r="AR200" s="188">
        <f t="shared" si="175"/>
        <v>16.195828704534573</v>
      </c>
      <c r="AS200" s="188">
        <f t="shared" si="175"/>
        <v>16.195828704534573</v>
      </c>
      <c r="AT200" s="188">
        <f t="shared" si="175"/>
        <v>16.195828704534573</v>
      </c>
      <c r="AU200" s="188">
        <f t="shared" si="175"/>
        <v>16.195828704534573</v>
      </c>
      <c r="AV200" s="188">
        <f t="shared" si="175"/>
        <v>16.195828704534573</v>
      </c>
    </row>
    <row r="201" spans="1:48">
      <c r="A201" s="4" t="s">
        <v>16</v>
      </c>
      <c r="B201" s="96" t="str">
        <f t="shared" si="171"/>
        <v>CNR</v>
      </c>
      <c r="C201" s="96" t="str">
        <f t="shared" si="171"/>
        <v>Commercial - Refrigeration</v>
      </c>
      <c r="E201" s="123"/>
      <c r="F201" s="123"/>
      <c r="I201" s="185"/>
      <c r="J201" s="188">
        <f t="shared" si="172"/>
        <v>0</v>
      </c>
      <c r="K201" s="188">
        <f t="shared" si="172"/>
        <v>0</v>
      </c>
      <c r="L201" s="188">
        <f t="shared" si="172"/>
        <v>0</v>
      </c>
      <c r="M201" s="188">
        <f t="shared" si="172"/>
        <v>0</v>
      </c>
      <c r="N201" s="188">
        <f t="shared" si="172"/>
        <v>0</v>
      </c>
      <c r="O201" s="188">
        <f t="shared" si="172"/>
        <v>0</v>
      </c>
      <c r="P201" s="188">
        <f t="shared" si="172"/>
        <v>0</v>
      </c>
      <c r="Q201" s="188">
        <f t="shared" si="172"/>
        <v>0</v>
      </c>
      <c r="R201" s="188">
        <f t="shared" si="172"/>
        <v>0</v>
      </c>
      <c r="S201" s="188">
        <f t="shared" si="172"/>
        <v>0</v>
      </c>
      <c r="T201" s="188">
        <f t="shared" si="173"/>
        <v>0</v>
      </c>
      <c r="U201" s="188">
        <f t="shared" si="173"/>
        <v>0</v>
      </c>
      <c r="V201" s="188">
        <f t="shared" si="173"/>
        <v>0</v>
      </c>
      <c r="W201" s="188">
        <f t="shared" si="173"/>
        <v>0</v>
      </c>
      <c r="X201" s="188">
        <f t="shared" si="173"/>
        <v>0</v>
      </c>
      <c r="Y201" s="188">
        <f t="shared" si="173"/>
        <v>0</v>
      </c>
      <c r="Z201" s="188">
        <f t="shared" si="173"/>
        <v>0</v>
      </c>
      <c r="AA201" s="188">
        <f t="shared" si="173"/>
        <v>0</v>
      </c>
      <c r="AB201" s="188">
        <f t="shared" si="173"/>
        <v>0</v>
      </c>
      <c r="AC201" s="188">
        <f t="shared" si="173"/>
        <v>0.36301336704721071</v>
      </c>
      <c r="AD201" s="188">
        <f t="shared" si="174"/>
        <v>0.71966278553624752</v>
      </c>
      <c r="AE201" s="188">
        <f t="shared" si="174"/>
        <v>1.0923536260268689</v>
      </c>
      <c r="AF201" s="188">
        <f t="shared" si="174"/>
        <v>1.4774546346101489</v>
      </c>
      <c r="AG201" s="188">
        <f t="shared" si="174"/>
        <v>1.8736314184063303</v>
      </c>
      <c r="AH201" s="188">
        <f t="shared" si="174"/>
        <v>2.2770928900079723</v>
      </c>
      <c r="AI201" s="188">
        <f t="shared" si="174"/>
        <v>2.6865512974751593</v>
      </c>
      <c r="AJ201" s="188">
        <f t="shared" si="174"/>
        <v>3.0962470583048245</v>
      </c>
      <c r="AK201" s="188">
        <f t="shared" si="174"/>
        <v>3.5122421147326026</v>
      </c>
      <c r="AL201" s="188">
        <f t="shared" si="174"/>
        <v>3.9398644284437676</v>
      </c>
      <c r="AM201" s="188">
        <f t="shared" si="174"/>
        <v>3.9398644284437676</v>
      </c>
      <c r="AN201" s="188">
        <f t="shared" si="175"/>
        <v>3.9398644284437676</v>
      </c>
      <c r="AO201" s="188">
        <f t="shared" si="175"/>
        <v>3.9398644284437676</v>
      </c>
      <c r="AP201" s="188">
        <f t="shared" si="175"/>
        <v>3.9398644284437676</v>
      </c>
      <c r="AQ201" s="188">
        <f t="shared" si="175"/>
        <v>3.9398644284437676</v>
      </c>
      <c r="AR201" s="188">
        <f t="shared" si="175"/>
        <v>3.9398644284437676</v>
      </c>
      <c r="AS201" s="188">
        <f t="shared" si="175"/>
        <v>3.9398644284437676</v>
      </c>
      <c r="AT201" s="188">
        <f t="shared" si="175"/>
        <v>3.9398644284437676</v>
      </c>
      <c r="AU201" s="188">
        <f t="shared" si="175"/>
        <v>3.9398644284437676</v>
      </c>
      <c r="AV201" s="188">
        <f t="shared" si="175"/>
        <v>3.9398644284437676</v>
      </c>
    </row>
    <row r="202" spans="1:48">
      <c r="A202" s="4" t="s">
        <v>16</v>
      </c>
      <c r="B202" s="96" t="str">
        <f t="shared" si="171"/>
        <v>CNW</v>
      </c>
      <c r="C202" s="96" t="str">
        <f t="shared" si="171"/>
        <v>Commercial - Water Heating</v>
      </c>
      <c r="E202" s="123"/>
      <c r="F202" s="123"/>
      <c r="I202" s="185"/>
      <c r="J202" s="188">
        <f t="shared" si="172"/>
        <v>0</v>
      </c>
      <c r="K202" s="188">
        <f t="shared" si="172"/>
        <v>0</v>
      </c>
      <c r="L202" s="188">
        <f t="shared" si="172"/>
        <v>0</v>
      </c>
      <c r="M202" s="188">
        <f t="shared" si="172"/>
        <v>0</v>
      </c>
      <c r="N202" s="188">
        <f t="shared" si="172"/>
        <v>0</v>
      </c>
      <c r="O202" s="188">
        <f t="shared" si="172"/>
        <v>0</v>
      </c>
      <c r="P202" s="188">
        <f t="shared" si="172"/>
        <v>0</v>
      </c>
      <c r="Q202" s="188">
        <f t="shared" si="172"/>
        <v>0</v>
      </c>
      <c r="R202" s="188">
        <f t="shared" si="172"/>
        <v>0</v>
      </c>
      <c r="S202" s="188">
        <f t="shared" si="172"/>
        <v>0</v>
      </c>
      <c r="T202" s="188">
        <f t="shared" si="173"/>
        <v>0</v>
      </c>
      <c r="U202" s="188">
        <f t="shared" si="173"/>
        <v>0</v>
      </c>
      <c r="V202" s="188">
        <f t="shared" si="173"/>
        <v>0</v>
      </c>
      <c r="W202" s="188">
        <f t="shared" si="173"/>
        <v>0</v>
      </c>
      <c r="X202" s="188">
        <f t="shared" si="173"/>
        <v>0</v>
      </c>
      <c r="Y202" s="188">
        <f t="shared" si="173"/>
        <v>0</v>
      </c>
      <c r="Z202" s="188">
        <f t="shared" si="173"/>
        <v>0</v>
      </c>
      <c r="AA202" s="188">
        <f t="shared" si="173"/>
        <v>0</v>
      </c>
      <c r="AB202" s="188">
        <f t="shared" si="173"/>
        <v>0</v>
      </c>
      <c r="AC202" s="188">
        <f t="shared" si="173"/>
        <v>0.1892351556515752</v>
      </c>
      <c r="AD202" s="188">
        <f t="shared" si="174"/>
        <v>0.37515285000479542</v>
      </c>
      <c r="AE202" s="188">
        <f t="shared" si="174"/>
        <v>0.56943277358950195</v>
      </c>
      <c r="AF202" s="188">
        <f t="shared" si="174"/>
        <v>0.77018199088033001</v>
      </c>
      <c r="AG202" s="188">
        <f t="shared" si="174"/>
        <v>0.9767048965160906</v>
      </c>
      <c r="AH202" s="188">
        <f t="shared" si="174"/>
        <v>1.1870252354032838</v>
      </c>
      <c r="AI202" s="188">
        <f t="shared" si="174"/>
        <v>1.4004717156256556</v>
      </c>
      <c r="AJ202" s="188">
        <f t="shared" si="174"/>
        <v>1.6140419257284409</v>
      </c>
      <c r="AK202" s="188">
        <f t="shared" si="174"/>
        <v>1.8308958942027163</v>
      </c>
      <c r="AL202" s="188">
        <f t="shared" si="174"/>
        <v>2.0538110329851822</v>
      </c>
      <c r="AM202" s="188">
        <f t="shared" si="174"/>
        <v>2.0538110329851822</v>
      </c>
      <c r="AN202" s="188">
        <f t="shared" si="175"/>
        <v>2.0538110329851822</v>
      </c>
      <c r="AO202" s="188">
        <f t="shared" si="175"/>
        <v>2.0538110329851822</v>
      </c>
      <c r="AP202" s="188">
        <f t="shared" si="175"/>
        <v>2.0538110329851822</v>
      </c>
      <c r="AQ202" s="188">
        <f t="shared" si="175"/>
        <v>2.0538110329851822</v>
      </c>
      <c r="AR202" s="188">
        <f t="shared" si="175"/>
        <v>2.0538110329851822</v>
      </c>
      <c r="AS202" s="188">
        <f t="shared" si="175"/>
        <v>2.0538110329851822</v>
      </c>
      <c r="AT202" s="188">
        <f t="shared" si="175"/>
        <v>2.0538110329851822</v>
      </c>
      <c r="AU202" s="188">
        <f t="shared" si="175"/>
        <v>2.0538110329851822</v>
      </c>
      <c r="AV202" s="188">
        <f t="shared" si="175"/>
        <v>2.0538110329851822</v>
      </c>
    </row>
    <row r="203" spans="1:48">
      <c r="A203" s="4" t="s">
        <v>16</v>
      </c>
      <c r="B203" s="96" t="str">
        <f t="shared" si="171"/>
        <v>CNG</v>
      </c>
      <c r="C203" s="96" t="str">
        <f t="shared" si="171"/>
        <v>Commercial - Public lights</v>
      </c>
      <c r="E203" s="123"/>
      <c r="F203" s="123"/>
      <c r="I203" s="185"/>
      <c r="J203" s="188">
        <f t="shared" si="172"/>
        <v>0</v>
      </c>
      <c r="K203" s="188">
        <f t="shared" si="172"/>
        <v>0</v>
      </c>
      <c r="L203" s="188">
        <f t="shared" si="172"/>
        <v>0</v>
      </c>
      <c r="M203" s="188">
        <f t="shared" si="172"/>
        <v>0</v>
      </c>
      <c r="N203" s="188">
        <f t="shared" si="172"/>
        <v>0</v>
      </c>
      <c r="O203" s="188">
        <f t="shared" si="172"/>
        <v>0</v>
      </c>
      <c r="P203" s="188">
        <f t="shared" si="172"/>
        <v>0</v>
      </c>
      <c r="Q203" s="188">
        <f t="shared" si="172"/>
        <v>0</v>
      </c>
      <c r="R203" s="188">
        <f t="shared" si="172"/>
        <v>0</v>
      </c>
      <c r="S203" s="188">
        <f t="shared" si="172"/>
        <v>0</v>
      </c>
      <c r="T203" s="188">
        <f t="shared" si="173"/>
        <v>0</v>
      </c>
      <c r="U203" s="188">
        <f t="shared" si="173"/>
        <v>0</v>
      </c>
      <c r="V203" s="188">
        <f t="shared" si="173"/>
        <v>0</v>
      </c>
      <c r="W203" s="188">
        <f t="shared" si="173"/>
        <v>0</v>
      </c>
      <c r="X203" s="188">
        <f t="shared" si="173"/>
        <v>0</v>
      </c>
      <c r="Y203" s="188">
        <f t="shared" si="173"/>
        <v>0</v>
      </c>
      <c r="Z203" s="188">
        <f t="shared" si="173"/>
        <v>0</v>
      </c>
      <c r="AA203" s="188">
        <f t="shared" si="173"/>
        <v>0</v>
      </c>
      <c r="AB203" s="188">
        <f t="shared" si="173"/>
        <v>0</v>
      </c>
      <c r="AC203" s="188">
        <f t="shared" si="173"/>
        <v>0</v>
      </c>
      <c r="AD203" s="188">
        <f t="shared" si="174"/>
        <v>0</v>
      </c>
      <c r="AE203" s="188">
        <f t="shared" si="174"/>
        <v>0</v>
      </c>
      <c r="AF203" s="188">
        <f t="shared" si="174"/>
        <v>0</v>
      </c>
      <c r="AG203" s="188">
        <f t="shared" si="174"/>
        <v>0</v>
      </c>
      <c r="AH203" s="188">
        <f t="shared" si="174"/>
        <v>0</v>
      </c>
      <c r="AI203" s="188">
        <f t="shared" si="174"/>
        <v>0</v>
      </c>
      <c r="AJ203" s="188">
        <f t="shared" si="174"/>
        <v>0</v>
      </c>
      <c r="AK203" s="188">
        <f t="shared" si="174"/>
        <v>0</v>
      </c>
      <c r="AL203" s="188">
        <f t="shared" si="174"/>
        <v>0</v>
      </c>
      <c r="AM203" s="188">
        <f t="shared" si="174"/>
        <v>0</v>
      </c>
      <c r="AN203" s="188">
        <f t="shared" si="175"/>
        <v>0</v>
      </c>
      <c r="AO203" s="188">
        <f t="shared" si="175"/>
        <v>0</v>
      </c>
      <c r="AP203" s="188">
        <f t="shared" si="175"/>
        <v>0</v>
      </c>
      <c r="AQ203" s="188">
        <f t="shared" si="175"/>
        <v>0</v>
      </c>
      <c r="AR203" s="188">
        <f t="shared" si="175"/>
        <v>0</v>
      </c>
      <c r="AS203" s="188">
        <f t="shared" si="175"/>
        <v>0</v>
      </c>
      <c r="AT203" s="188">
        <f t="shared" si="175"/>
        <v>0</v>
      </c>
      <c r="AU203" s="188">
        <f t="shared" si="175"/>
        <v>0</v>
      </c>
      <c r="AV203" s="188">
        <f t="shared" si="175"/>
        <v>0</v>
      </c>
    </row>
    <row r="204" spans="1:48">
      <c r="A204" s="4" t="s">
        <v>16</v>
      </c>
      <c r="B204" s="96" t="str">
        <f t="shared" si="171"/>
        <v>CNT</v>
      </c>
      <c r="C204" s="96" t="str">
        <f t="shared" si="171"/>
        <v>Commercial - Public Water</v>
      </c>
      <c r="E204" s="123"/>
      <c r="F204" s="123"/>
      <c r="I204" s="185"/>
      <c r="J204" s="188">
        <f t="shared" si="172"/>
        <v>0</v>
      </c>
      <c r="K204" s="188">
        <f t="shared" si="172"/>
        <v>0</v>
      </c>
      <c r="L204" s="188">
        <f t="shared" si="172"/>
        <v>0</v>
      </c>
      <c r="M204" s="188">
        <f t="shared" si="172"/>
        <v>0</v>
      </c>
      <c r="N204" s="188">
        <f t="shared" si="172"/>
        <v>0</v>
      </c>
      <c r="O204" s="188">
        <f t="shared" si="172"/>
        <v>0</v>
      </c>
      <c r="P204" s="188">
        <f t="shared" si="172"/>
        <v>0</v>
      </c>
      <c r="Q204" s="188">
        <f t="shared" si="172"/>
        <v>0</v>
      </c>
      <c r="R204" s="188">
        <f t="shared" si="172"/>
        <v>0</v>
      </c>
      <c r="S204" s="188">
        <f t="shared" si="172"/>
        <v>0</v>
      </c>
      <c r="T204" s="188">
        <f t="shared" si="173"/>
        <v>0</v>
      </c>
      <c r="U204" s="188">
        <f t="shared" si="173"/>
        <v>0</v>
      </c>
      <c r="V204" s="188">
        <f t="shared" si="173"/>
        <v>0</v>
      </c>
      <c r="W204" s="188">
        <f t="shared" si="173"/>
        <v>0</v>
      </c>
      <c r="X204" s="188">
        <f t="shared" si="173"/>
        <v>0</v>
      </c>
      <c r="Y204" s="188">
        <f t="shared" si="173"/>
        <v>0</v>
      </c>
      <c r="Z204" s="188">
        <f t="shared" si="173"/>
        <v>0</v>
      </c>
      <c r="AA204" s="188">
        <f t="shared" si="173"/>
        <v>0</v>
      </c>
      <c r="AB204" s="188">
        <f t="shared" si="173"/>
        <v>0</v>
      </c>
      <c r="AC204" s="188">
        <f t="shared" si="173"/>
        <v>0</v>
      </c>
      <c r="AD204" s="188">
        <f t="shared" si="174"/>
        <v>0</v>
      </c>
      <c r="AE204" s="188">
        <f t="shared" si="174"/>
        <v>0</v>
      </c>
      <c r="AF204" s="188">
        <f t="shared" si="174"/>
        <v>0</v>
      </c>
      <c r="AG204" s="188">
        <f t="shared" si="174"/>
        <v>0</v>
      </c>
      <c r="AH204" s="188">
        <f t="shared" si="174"/>
        <v>0</v>
      </c>
      <c r="AI204" s="188">
        <f t="shared" si="174"/>
        <v>0</v>
      </c>
      <c r="AJ204" s="188">
        <f t="shared" si="174"/>
        <v>0</v>
      </c>
      <c r="AK204" s="188">
        <f t="shared" si="174"/>
        <v>0</v>
      </c>
      <c r="AL204" s="188">
        <f t="shared" si="174"/>
        <v>0</v>
      </c>
      <c r="AM204" s="188">
        <f t="shared" si="174"/>
        <v>0</v>
      </c>
      <c r="AN204" s="188">
        <f t="shared" si="175"/>
        <v>0</v>
      </c>
      <c r="AO204" s="188">
        <f t="shared" si="175"/>
        <v>0</v>
      </c>
      <c r="AP204" s="188">
        <f t="shared" si="175"/>
        <v>0</v>
      </c>
      <c r="AQ204" s="188">
        <f t="shared" si="175"/>
        <v>0</v>
      </c>
      <c r="AR204" s="188">
        <f t="shared" si="175"/>
        <v>0</v>
      </c>
      <c r="AS204" s="188">
        <f t="shared" si="175"/>
        <v>0</v>
      </c>
      <c r="AT204" s="188">
        <f t="shared" si="175"/>
        <v>0</v>
      </c>
      <c r="AU204" s="188">
        <f t="shared" si="175"/>
        <v>0</v>
      </c>
      <c r="AV204" s="188">
        <f t="shared" si="175"/>
        <v>0</v>
      </c>
    </row>
    <row r="205" spans="1:48">
      <c r="A205" s="4" t="s">
        <v>16</v>
      </c>
      <c r="B205" s="96" t="str">
        <f t="shared" si="171"/>
        <v>CNO</v>
      </c>
      <c r="C205" s="96" t="str">
        <f t="shared" si="171"/>
        <v>Commercial - Other</v>
      </c>
      <c r="E205" s="123"/>
      <c r="F205" s="123"/>
      <c r="I205" s="185"/>
      <c r="J205" s="188">
        <f t="shared" si="172"/>
        <v>0</v>
      </c>
      <c r="K205" s="188">
        <f t="shared" si="172"/>
        <v>0</v>
      </c>
      <c r="L205" s="188">
        <f t="shared" si="172"/>
        <v>0</v>
      </c>
      <c r="M205" s="188">
        <f t="shared" si="172"/>
        <v>0</v>
      </c>
      <c r="N205" s="188">
        <f t="shared" si="172"/>
        <v>0</v>
      </c>
      <c r="O205" s="188">
        <f t="shared" si="172"/>
        <v>0</v>
      </c>
      <c r="P205" s="188">
        <f t="shared" si="172"/>
        <v>0</v>
      </c>
      <c r="Q205" s="188">
        <f t="shared" si="172"/>
        <v>0</v>
      </c>
      <c r="R205" s="188">
        <f t="shared" si="172"/>
        <v>0</v>
      </c>
      <c r="S205" s="188">
        <f t="shared" si="172"/>
        <v>0</v>
      </c>
      <c r="T205" s="188">
        <f t="shared" si="173"/>
        <v>0</v>
      </c>
      <c r="U205" s="188">
        <f t="shared" si="173"/>
        <v>0</v>
      </c>
      <c r="V205" s="188">
        <f t="shared" si="173"/>
        <v>0</v>
      </c>
      <c r="W205" s="188">
        <f t="shared" si="173"/>
        <v>0</v>
      </c>
      <c r="X205" s="188">
        <f t="shared" si="173"/>
        <v>0</v>
      </c>
      <c r="Y205" s="188">
        <f t="shared" si="173"/>
        <v>0</v>
      </c>
      <c r="Z205" s="188">
        <f t="shared" si="173"/>
        <v>0</v>
      </c>
      <c r="AA205" s="188">
        <f t="shared" si="173"/>
        <v>0</v>
      </c>
      <c r="AB205" s="188">
        <f t="shared" si="173"/>
        <v>0</v>
      </c>
      <c r="AC205" s="188">
        <f t="shared" si="173"/>
        <v>0.24234501048663332</v>
      </c>
      <c r="AD205" s="188">
        <f t="shared" si="174"/>
        <v>0.48044149648335038</v>
      </c>
      <c r="AE205" s="188">
        <f t="shared" si="174"/>
        <v>0.7292471159062448</v>
      </c>
      <c r="AF205" s="188">
        <f t="shared" si="174"/>
        <v>0.98633767078763224</v>
      </c>
      <c r="AG205" s="188">
        <f t="shared" si="174"/>
        <v>1.2508223304149446</v>
      </c>
      <c r="AH205" s="188">
        <f t="shared" si="174"/>
        <v>1.5201701931715699</v>
      </c>
      <c r="AI205" s="188">
        <f t="shared" si="174"/>
        <v>1.7935215654877588</v>
      </c>
      <c r="AJ205" s="188">
        <f t="shared" si="174"/>
        <v>2.0670313931346342</v>
      </c>
      <c r="AK205" s="188">
        <f t="shared" si="174"/>
        <v>2.3447465834385395</v>
      </c>
      <c r="AL205" s="188">
        <f t="shared" si="174"/>
        <v>2.6302240437965576</v>
      </c>
      <c r="AM205" s="188">
        <f t="shared" si="174"/>
        <v>2.6302240437965576</v>
      </c>
      <c r="AN205" s="188">
        <f t="shared" si="175"/>
        <v>2.6302240437965576</v>
      </c>
      <c r="AO205" s="188">
        <f t="shared" si="175"/>
        <v>2.6302240437965576</v>
      </c>
      <c r="AP205" s="188">
        <f t="shared" si="175"/>
        <v>2.6302240437965576</v>
      </c>
      <c r="AQ205" s="188">
        <f t="shared" si="175"/>
        <v>2.6302240437965576</v>
      </c>
      <c r="AR205" s="188">
        <f t="shared" si="175"/>
        <v>2.6302240437965576</v>
      </c>
      <c r="AS205" s="188">
        <f t="shared" si="175"/>
        <v>2.6302240437965576</v>
      </c>
      <c r="AT205" s="188">
        <f t="shared" si="175"/>
        <v>2.6302240437965576</v>
      </c>
      <c r="AU205" s="188">
        <f t="shared" si="175"/>
        <v>2.6302240437965576</v>
      </c>
      <c r="AV205" s="188">
        <f t="shared" si="175"/>
        <v>2.6302240437965576</v>
      </c>
    </row>
    <row r="206" spans="1:48">
      <c r="A206" s="4" t="s">
        <v>16</v>
      </c>
      <c r="E206" s="123"/>
      <c r="F206" s="123"/>
      <c r="I206" s="185"/>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c r="AH206" s="188"/>
      <c r="AI206" s="188"/>
      <c r="AJ206" s="188"/>
      <c r="AK206" s="188"/>
      <c r="AL206" s="188"/>
      <c r="AM206" s="188"/>
      <c r="AN206" s="188"/>
      <c r="AO206" s="188"/>
      <c r="AP206" s="188"/>
      <c r="AQ206" s="188"/>
      <c r="AR206" s="188"/>
      <c r="AS206" s="188"/>
      <c r="AT206" s="188"/>
      <c r="AU206" s="188"/>
      <c r="AV206" s="188"/>
    </row>
    <row r="207" spans="1:48">
      <c r="A207" s="4" t="s">
        <v>16</v>
      </c>
      <c r="E207" s="123"/>
      <c r="F207" s="123"/>
      <c r="I207" s="185" t="s">
        <v>232</v>
      </c>
      <c r="J207" s="188"/>
      <c r="K207" s="188"/>
      <c r="L207" s="188"/>
      <c r="M207" s="188"/>
      <c r="N207" s="188"/>
      <c r="O207" s="188"/>
      <c r="P207" s="188"/>
      <c r="Q207" s="188"/>
      <c r="R207" s="188"/>
      <c r="S207" s="188"/>
      <c r="T207" s="188"/>
      <c r="U207" s="188"/>
      <c r="V207" s="188"/>
      <c r="W207" s="188"/>
      <c r="X207" s="188"/>
      <c r="Y207" s="188"/>
      <c r="Z207" s="188"/>
      <c r="AA207" s="188"/>
      <c r="AB207" s="188"/>
      <c r="AC207" s="188"/>
      <c r="AD207" s="188"/>
      <c r="AE207" s="188"/>
      <c r="AF207" s="188"/>
      <c r="AG207" s="188"/>
      <c r="AH207" s="188"/>
      <c r="AI207" s="188"/>
      <c r="AJ207" s="188"/>
      <c r="AK207" s="188"/>
      <c r="AL207" s="188"/>
      <c r="AM207" s="188"/>
      <c r="AN207" s="188"/>
      <c r="AO207" s="188"/>
      <c r="AP207" s="188"/>
      <c r="AQ207" s="188"/>
      <c r="AR207" s="188"/>
      <c r="AS207" s="188"/>
      <c r="AT207" s="188"/>
      <c r="AU207" s="188"/>
      <c r="AV207" s="188"/>
    </row>
    <row r="208" spans="1:48">
      <c r="A208" s="4" t="s">
        <v>16</v>
      </c>
      <c r="B208" s="96" t="str">
        <f t="shared" ref="B208:C216" si="176">B197</f>
        <v>CNC</v>
      </c>
      <c r="C208" s="96" t="str">
        <f t="shared" si="176"/>
        <v>Commercial - Cooling</v>
      </c>
      <c r="E208" s="98"/>
      <c r="F208" s="123"/>
      <c r="I208" s="185"/>
      <c r="J208" s="188">
        <f t="shared" ref="J208:S216" si="177">INDEX(J$49:J$52,MATCH($I$207,$B$49:$B$52,0),1)*INDEX(J$81:J$89,MATCH($B208,$B$81:$B$89,0))*INDEX(J$138:J$146,MATCH($B208,$B$138:$B$146,0))/1000</f>
        <v>0</v>
      </c>
      <c r="K208" s="188">
        <f t="shared" si="177"/>
        <v>0</v>
      </c>
      <c r="L208" s="188">
        <f t="shared" si="177"/>
        <v>0</v>
      </c>
      <c r="M208" s="188">
        <f t="shared" si="177"/>
        <v>0</v>
      </c>
      <c r="N208" s="188">
        <f t="shared" si="177"/>
        <v>0</v>
      </c>
      <c r="O208" s="188">
        <f t="shared" si="177"/>
        <v>0</v>
      </c>
      <c r="P208" s="188">
        <f t="shared" si="177"/>
        <v>0</v>
      </c>
      <c r="Q208" s="188">
        <f t="shared" si="177"/>
        <v>0</v>
      </c>
      <c r="R208" s="188">
        <f t="shared" si="177"/>
        <v>0</v>
      </c>
      <c r="S208" s="188">
        <f t="shared" si="177"/>
        <v>0</v>
      </c>
      <c r="T208" s="188">
        <f t="shared" ref="T208:AC216" si="178">INDEX(T$49:T$52,MATCH($I$207,$B$49:$B$52,0),1)*INDEX(T$81:T$89,MATCH($B208,$B$81:$B$89,0))*INDEX(T$138:T$146,MATCH($B208,$B$138:$B$146,0))/1000</f>
        <v>0</v>
      </c>
      <c r="U208" s="188">
        <f t="shared" si="178"/>
        <v>0</v>
      </c>
      <c r="V208" s="188">
        <f t="shared" si="178"/>
        <v>0</v>
      </c>
      <c r="W208" s="188">
        <f t="shared" si="178"/>
        <v>0</v>
      </c>
      <c r="X208" s="188">
        <f t="shared" si="178"/>
        <v>0</v>
      </c>
      <c r="Y208" s="188">
        <f t="shared" si="178"/>
        <v>0</v>
      </c>
      <c r="Z208" s="188">
        <f t="shared" si="178"/>
        <v>0</v>
      </c>
      <c r="AA208" s="188">
        <f t="shared" si="178"/>
        <v>0</v>
      </c>
      <c r="AB208" s="188">
        <f t="shared" si="178"/>
        <v>0</v>
      </c>
      <c r="AC208" s="188">
        <f t="shared" si="178"/>
        <v>0</v>
      </c>
      <c r="AD208" s="188">
        <f t="shared" ref="AD208:AM216" si="179">INDEX(AD$49:AD$52,MATCH($I$207,$B$49:$B$52,0),1)*INDEX(AD$81:AD$89,MATCH($B208,$B$81:$B$89,0))*INDEX(AD$138:AD$146,MATCH($B208,$B$138:$B$146,0))/1000</f>
        <v>0</v>
      </c>
      <c r="AE208" s="188">
        <f t="shared" si="179"/>
        <v>0</v>
      </c>
      <c r="AF208" s="188">
        <f t="shared" si="179"/>
        <v>0</v>
      </c>
      <c r="AG208" s="188">
        <f t="shared" si="179"/>
        <v>0</v>
      </c>
      <c r="AH208" s="188">
        <f t="shared" si="179"/>
        <v>0</v>
      </c>
      <c r="AI208" s="188">
        <f t="shared" si="179"/>
        <v>0</v>
      </c>
      <c r="AJ208" s="188">
        <f t="shared" si="179"/>
        <v>0</v>
      </c>
      <c r="AK208" s="188">
        <f t="shared" si="179"/>
        <v>0</v>
      </c>
      <c r="AL208" s="188">
        <f t="shared" si="179"/>
        <v>0</v>
      </c>
      <c r="AM208" s="188">
        <f t="shared" si="179"/>
        <v>2.1283494413725901</v>
      </c>
      <c r="AN208" s="188">
        <f t="shared" ref="AN208:AV216" si="180">INDEX(AN$49:AN$52,MATCH($I$207,$B$49:$B$52,0),1)*INDEX(AN$81:AN$89,MATCH($B208,$B$81:$B$89,0))*INDEX(AN$138:AN$146,MATCH($B208,$B$138:$B$146,0))/1000</f>
        <v>4.2291772469170335</v>
      </c>
      <c r="AO208" s="188">
        <f t="shared" si="180"/>
        <v>6.3039166633442143</v>
      </c>
      <c r="AP208" s="188">
        <f t="shared" si="180"/>
        <v>8.3538823223452514</v>
      </c>
      <c r="AQ208" s="188">
        <f t="shared" si="180"/>
        <v>10.380283468329607</v>
      </c>
      <c r="AR208" s="188">
        <f t="shared" si="180"/>
        <v>12.711618924149585</v>
      </c>
      <c r="AS208" s="188">
        <f t="shared" si="180"/>
        <v>15.009675757034941</v>
      </c>
      <c r="AT208" s="188">
        <f t="shared" si="180"/>
        <v>17.276285163830586</v>
      </c>
      <c r="AU208" s="188">
        <f t="shared" si="180"/>
        <v>19.513118502880516</v>
      </c>
      <c r="AV208" s="188">
        <f t="shared" si="180"/>
        <v>21.828335346580896</v>
      </c>
    </row>
    <row r="209" spans="1:48">
      <c r="A209" s="4" t="s">
        <v>16</v>
      </c>
      <c r="B209" s="96" t="str">
        <f t="shared" si="176"/>
        <v>CNH</v>
      </c>
      <c r="C209" s="96" t="str">
        <f t="shared" si="176"/>
        <v>Commercial - Space Heating</v>
      </c>
      <c r="E209" s="123"/>
      <c r="F209" s="123"/>
      <c r="I209" s="185"/>
      <c r="J209" s="188">
        <f t="shared" si="177"/>
        <v>0</v>
      </c>
      <c r="K209" s="188">
        <f t="shared" si="177"/>
        <v>0</v>
      </c>
      <c r="L209" s="188">
        <f t="shared" si="177"/>
        <v>0</v>
      </c>
      <c r="M209" s="188">
        <f t="shared" si="177"/>
        <v>0</v>
      </c>
      <c r="N209" s="188">
        <f t="shared" si="177"/>
        <v>0</v>
      </c>
      <c r="O209" s="188">
        <f t="shared" si="177"/>
        <v>0</v>
      </c>
      <c r="P209" s="188">
        <f t="shared" si="177"/>
        <v>0</v>
      </c>
      <c r="Q209" s="188">
        <f t="shared" si="177"/>
        <v>0</v>
      </c>
      <c r="R209" s="188">
        <f t="shared" si="177"/>
        <v>0</v>
      </c>
      <c r="S209" s="188">
        <f t="shared" si="177"/>
        <v>0</v>
      </c>
      <c r="T209" s="188">
        <f t="shared" si="178"/>
        <v>0</v>
      </c>
      <c r="U209" s="188">
        <f t="shared" si="178"/>
        <v>0</v>
      </c>
      <c r="V209" s="188">
        <f t="shared" si="178"/>
        <v>0</v>
      </c>
      <c r="W209" s="188">
        <f t="shared" si="178"/>
        <v>0</v>
      </c>
      <c r="X209" s="188">
        <f t="shared" si="178"/>
        <v>0</v>
      </c>
      <c r="Y209" s="188">
        <f t="shared" si="178"/>
        <v>0</v>
      </c>
      <c r="Z209" s="188">
        <f t="shared" si="178"/>
        <v>0</v>
      </c>
      <c r="AA209" s="188">
        <f t="shared" si="178"/>
        <v>0</v>
      </c>
      <c r="AB209" s="188">
        <f t="shared" si="178"/>
        <v>0</v>
      </c>
      <c r="AC209" s="188">
        <f t="shared" si="178"/>
        <v>0</v>
      </c>
      <c r="AD209" s="188">
        <f t="shared" si="179"/>
        <v>0</v>
      </c>
      <c r="AE209" s="188">
        <f t="shared" si="179"/>
        <v>0</v>
      </c>
      <c r="AF209" s="188">
        <f t="shared" si="179"/>
        <v>0</v>
      </c>
      <c r="AG209" s="188">
        <f t="shared" si="179"/>
        <v>0</v>
      </c>
      <c r="AH209" s="188">
        <f t="shared" si="179"/>
        <v>0</v>
      </c>
      <c r="AI209" s="188">
        <f t="shared" si="179"/>
        <v>0</v>
      </c>
      <c r="AJ209" s="188">
        <f t="shared" si="179"/>
        <v>0</v>
      </c>
      <c r="AK209" s="188">
        <f t="shared" si="179"/>
        <v>0</v>
      </c>
      <c r="AL209" s="188">
        <f t="shared" si="179"/>
        <v>0</v>
      </c>
      <c r="AM209" s="188">
        <f t="shared" si="179"/>
        <v>0.20297289260194579</v>
      </c>
      <c r="AN209" s="188">
        <f t="shared" si="180"/>
        <v>0.40332114757409809</v>
      </c>
      <c r="AO209" s="188">
        <f t="shared" si="180"/>
        <v>0.60118144840698984</v>
      </c>
      <c r="AP209" s="188">
        <f t="shared" si="180"/>
        <v>0.79667916671106498</v>
      </c>
      <c r="AQ209" s="188">
        <f t="shared" si="180"/>
        <v>0.98992962369762483</v>
      </c>
      <c r="AR209" s="188">
        <f t="shared" si="180"/>
        <v>1.2122605492002001</v>
      </c>
      <c r="AS209" s="188">
        <f t="shared" si="180"/>
        <v>1.4314178142936584</v>
      </c>
      <c r="AT209" s="188">
        <f t="shared" si="180"/>
        <v>1.6475760535155959</v>
      </c>
      <c r="AU209" s="188">
        <f t="shared" si="180"/>
        <v>1.860894658191073</v>
      </c>
      <c r="AV209" s="188">
        <f t="shared" si="180"/>
        <v>2.0816884106791766</v>
      </c>
    </row>
    <row r="210" spans="1:48">
      <c r="A210" s="4" t="s">
        <v>16</v>
      </c>
      <c r="B210" s="96" t="str">
        <f t="shared" si="176"/>
        <v>CNK</v>
      </c>
      <c r="C210" s="96" t="str">
        <f t="shared" si="176"/>
        <v>Commercial - Cooking</v>
      </c>
      <c r="E210" s="123"/>
      <c r="F210" s="123"/>
      <c r="I210" s="185"/>
      <c r="J210" s="188">
        <f t="shared" si="177"/>
        <v>0</v>
      </c>
      <c r="K210" s="188">
        <f t="shared" si="177"/>
        <v>0</v>
      </c>
      <c r="L210" s="188">
        <f t="shared" si="177"/>
        <v>0</v>
      </c>
      <c r="M210" s="188">
        <f t="shared" si="177"/>
        <v>0</v>
      </c>
      <c r="N210" s="188">
        <f t="shared" si="177"/>
        <v>0</v>
      </c>
      <c r="O210" s="188">
        <f t="shared" si="177"/>
        <v>0</v>
      </c>
      <c r="P210" s="188">
        <f t="shared" si="177"/>
        <v>0</v>
      </c>
      <c r="Q210" s="188">
        <f t="shared" si="177"/>
        <v>0</v>
      </c>
      <c r="R210" s="188">
        <f t="shared" si="177"/>
        <v>0</v>
      </c>
      <c r="S210" s="188">
        <f t="shared" si="177"/>
        <v>0</v>
      </c>
      <c r="T210" s="188">
        <f t="shared" si="178"/>
        <v>0</v>
      </c>
      <c r="U210" s="188">
        <f t="shared" si="178"/>
        <v>0</v>
      </c>
      <c r="V210" s="188">
        <f t="shared" si="178"/>
        <v>0</v>
      </c>
      <c r="W210" s="188">
        <f t="shared" si="178"/>
        <v>0</v>
      </c>
      <c r="X210" s="188">
        <f t="shared" si="178"/>
        <v>0</v>
      </c>
      <c r="Y210" s="188">
        <f t="shared" si="178"/>
        <v>0</v>
      </c>
      <c r="Z210" s="188">
        <f t="shared" si="178"/>
        <v>0</v>
      </c>
      <c r="AA210" s="188">
        <f t="shared" si="178"/>
        <v>0</v>
      </c>
      <c r="AB210" s="188">
        <f t="shared" si="178"/>
        <v>0</v>
      </c>
      <c r="AC210" s="188">
        <f t="shared" si="178"/>
        <v>0</v>
      </c>
      <c r="AD210" s="188">
        <f t="shared" si="179"/>
        <v>0</v>
      </c>
      <c r="AE210" s="188">
        <f t="shared" si="179"/>
        <v>0</v>
      </c>
      <c r="AF210" s="188">
        <f t="shared" si="179"/>
        <v>0</v>
      </c>
      <c r="AG210" s="188">
        <f t="shared" si="179"/>
        <v>0</v>
      </c>
      <c r="AH210" s="188">
        <f t="shared" si="179"/>
        <v>0</v>
      </c>
      <c r="AI210" s="188">
        <f t="shared" si="179"/>
        <v>0</v>
      </c>
      <c r="AJ210" s="188">
        <f t="shared" si="179"/>
        <v>0</v>
      </c>
      <c r="AK210" s="188">
        <f t="shared" si="179"/>
        <v>0</v>
      </c>
      <c r="AL210" s="188">
        <f t="shared" si="179"/>
        <v>0</v>
      </c>
      <c r="AM210" s="188">
        <f t="shared" si="179"/>
        <v>0.15181332727851071</v>
      </c>
      <c r="AN210" s="188">
        <f t="shared" si="180"/>
        <v>0.30166356004537775</v>
      </c>
      <c r="AO210" s="188">
        <f t="shared" si="180"/>
        <v>0.44965293055051303</v>
      </c>
      <c r="AP210" s="188">
        <f t="shared" si="180"/>
        <v>0.59587521033692314</v>
      </c>
      <c r="AQ210" s="188">
        <f t="shared" si="180"/>
        <v>0.74041665376384258</v>
      </c>
      <c r="AR210" s="188">
        <f t="shared" si="180"/>
        <v>0.90670879812249805</v>
      </c>
      <c r="AS210" s="188">
        <f t="shared" si="180"/>
        <v>1.0706272070518368</v>
      </c>
      <c r="AT210" s="188">
        <f t="shared" si="180"/>
        <v>1.2323024982410997</v>
      </c>
      <c r="AU210" s="188">
        <f t="shared" si="180"/>
        <v>1.3918538882373177</v>
      </c>
      <c r="AV210" s="188">
        <f t="shared" si="180"/>
        <v>1.5569963059160303</v>
      </c>
    </row>
    <row r="211" spans="1:48">
      <c r="A211" s="4" t="s">
        <v>16</v>
      </c>
      <c r="B211" s="96" t="str">
        <f t="shared" si="176"/>
        <v>CNL</v>
      </c>
      <c r="C211" s="96" t="str">
        <f t="shared" si="176"/>
        <v>Commercial - Lighting</v>
      </c>
      <c r="E211" s="123"/>
      <c r="F211" s="123"/>
      <c r="I211" s="185"/>
      <c r="J211" s="188">
        <f t="shared" si="177"/>
        <v>0</v>
      </c>
      <c r="K211" s="188">
        <f t="shared" si="177"/>
        <v>0</v>
      </c>
      <c r="L211" s="188">
        <f t="shared" si="177"/>
        <v>0</v>
      </c>
      <c r="M211" s="188">
        <f t="shared" si="177"/>
        <v>0</v>
      </c>
      <c r="N211" s="188">
        <f t="shared" si="177"/>
        <v>0</v>
      </c>
      <c r="O211" s="188">
        <f t="shared" si="177"/>
        <v>0</v>
      </c>
      <c r="P211" s="188">
        <f t="shared" si="177"/>
        <v>0</v>
      </c>
      <c r="Q211" s="188">
        <f t="shared" si="177"/>
        <v>0</v>
      </c>
      <c r="R211" s="188">
        <f t="shared" si="177"/>
        <v>0</v>
      </c>
      <c r="S211" s="188">
        <f t="shared" si="177"/>
        <v>0</v>
      </c>
      <c r="T211" s="188">
        <f t="shared" si="178"/>
        <v>0</v>
      </c>
      <c r="U211" s="188">
        <f t="shared" si="178"/>
        <v>0</v>
      </c>
      <c r="V211" s="188">
        <f t="shared" si="178"/>
        <v>0</v>
      </c>
      <c r="W211" s="188">
        <f t="shared" si="178"/>
        <v>0</v>
      </c>
      <c r="X211" s="188">
        <f t="shared" si="178"/>
        <v>0</v>
      </c>
      <c r="Y211" s="188">
        <f t="shared" si="178"/>
        <v>0</v>
      </c>
      <c r="Z211" s="188">
        <f t="shared" si="178"/>
        <v>0</v>
      </c>
      <c r="AA211" s="188">
        <f t="shared" si="178"/>
        <v>0</v>
      </c>
      <c r="AB211" s="188">
        <f t="shared" si="178"/>
        <v>0</v>
      </c>
      <c r="AC211" s="188">
        <f t="shared" si="178"/>
        <v>0</v>
      </c>
      <c r="AD211" s="188">
        <f t="shared" si="179"/>
        <v>0</v>
      </c>
      <c r="AE211" s="188">
        <f t="shared" si="179"/>
        <v>0</v>
      </c>
      <c r="AF211" s="188">
        <f t="shared" si="179"/>
        <v>0</v>
      </c>
      <c r="AG211" s="188">
        <f t="shared" si="179"/>
        <v>0</v>
      </c>
      <c r="AH211" s="188">
        <f t="shared" si="179"/>
        <v>0</v>
      </c>
      <c r="AI211" s="188">
        <f t="shared" si="179"/>
        <v>0</v>
      </c>
      <c r="AJ211" s="188">
        <f t="shared" si="179"/>
        <v>0</v>
      </c>
      <c r="AK211" s="188">
        <f t="shared" si="179"/>
        <v>0</v>
      </c>
      <c r="AL211" s="188">
        <f t="shared" si="179"/>
        <v>0</v>
      </c>
      <c r="AM211" s="188">
        <f t="shared" si="179"/>
        <v>1.8521554545913606</v>
      </c>
      <c r="AN211" s="188">
        <f t="shared" si="180"/>
        <v>3.6803607312056004</v>
      </c>
      <c r="AO211" s="188">
        <f t="shared" si="180"/>
        <v>5.485863085421026</v>
      </c>
      <c r="AP211" s="188">
        <f t="shared" si="180"/>
        <v>7.26980655036028</v>
      </c>
      <c r="AQ211" s="188">
        <f t="shared" si="180"/>
        <v>9.0332434478768029</v>
      </c>
      <c r="AR211" s="188">
        <f t="shared" si="180"/>
        <v>11.062043604957445</v>
      </c>
      <c r="AS211" s="188">
        <f t="shared" si="180"/>
        <v>13.061883675977267</v>
      </c>
      <c r="AT211" s="188">
        <f t="shared" si="180"/>
        <v>15.034357225018748</v>
      </c>
      <c r="AU211" s="188">
        <f t="shared" si="180"/>
        <v>16.980918719761505</v>
      </c>
      <c r="AV211" s="188">
        <f t="shared" si="180"/>
        <v>18.995691962474872</v>
      </c>
    </row>
    <row r="212" spans="1:48">
      <c r="A212" s="4" t="s">
        <v>16</v>
      </c>
      <c r="B212" s="96" t="str">
        <f t="shared" si="176"/>
        <v>CNR</v>
      </c>
      <c r="C212" s="96" t="str">
        <f t="shared" si="176"/>
        <v>Commercial - Refrigeration</v>
      </c>
      <c r="E212" s="123"/>
      <c r="F212" s="123"/>
      <c r="I212" s="185"/>
      <c r="J212" s="188">
        <f t="shared" si="177"/>
        <v>0</v>
      </c>
      <c r="K212" s="188">
        <f t="shared" si="177"/>
        <v>0</v>
      </c>
      <c r="L212" s="188">
        <f t="shared" si="177"/>
        <v>0</v>
      </c>
      <c r="M212" s="188">
        <f t="shared" si="177"/>
        <v>0</v>
      </c>
      <c r="N212" s="188">
        <f t="shared" si="177"/>
        <v>0</v>
      </c>
      <c r="O212" s="188">
        <f t="shared" si="177"/>
        <v>0</v>
      </c>
      <c r="P212" s="188">
        <f t="shared" si="177"/>
        <v>0</v>
      </c>
      <c r="Q212" s="188">
        <f t="shared" si="177"/>
        <v>0</v>
      </c>
      <c r="R212" s="188">
        <f t="shared" si="177"/>
        <v>0</v>
      </c>
      <c r="S212" s="188">
        <f t="shared" si="177"/>
        <v>0</v>
      </c>
      <c r="T212" s="188">
        <f t="shared" si="178"/>
        <v>0</v>
      </c>
      <c r="U212" s="188">
        <f t="shared" si="178"/>
        <v>0</v>
      </c>
      <c r="V212" s="188">
        <f t="shared" si="178"/>
        <v>0</v>
      </c>
      <c r="W212" s="188">
        <f t="shared" si="178"/>
        <v>0</v>
      </c>
      <c r="X212" s="188">
        <f t="shared" si="178"/>
        <v>0</v>
      </c>
      <c r="Y212" s="188">
        <f t="shared" si="178"/>
        <v>0</v>
      </c>
      <c r="Z212" s="188">
        <f t="shared" si="178"/>
        <v>0</v>
      </c>
      <c r="AA212" s="188">
        <f t="shared" si="178"/>
        <v>0</v>
      </c>
      <c r="AB212" s="188">
        <f t="shared" si="178"/>
        <v>0</v>
      </c>
      <c r="AC212" s="188">
        <f t="shared" si="178"/>
        <v>0</v>
      </c>
      <c r="AD212" s="188">
        <f t="shared" si="179"/>
        <v>0</v>
      </c>
      <c r="AE212" s="188">
        <f t="shared" si="179"/>
        <v>0</v>
      </c>
      <c r="AF212" s="188">
        <f t="shared" si="179"/>
        <v>0</v>
      </c>
      <c r="AG212" s="188">
        <f t="shared" si="179"/>
        <v>0</v>
      </c>
      <c r="AH212" s="188">
        <f t="shared" si="179"/>
        <v>0</v>
      </c>
      <c r="AI212" s="188">
        <f t="shared" si="179"/>
        <v>0</v>
      </c>
      <c r="AJ212" s="188">
        <f t="shared" si="179"/>
        <v>0</v>
      </c>
      <c r="AK212" s="188">
        <f t="shared" si="179"/>
        <v>0</v>
      </c>
      <c r="AL212" s="188">
        <f t="shared" si="179"/>
        <v>0</v>
      </c>
      <c r="AM212" s="188">
        <f t="shared" si="179"/>
        <v>0.4505630137622712</v>
      </c>
      <c r="AN212" s="188">
        <f t="shared" si="180"/>
        <v>0.89529980794736608</v>
      </c>
      <c r="AO212" s="188">
        <f t="shared" si="180"/>
        <v>1.3345137951176049</v>
      </c>
      <c r="AP212" s="188">
        <f t="shared" si="180"/>
        <v>1.7684832775128483</v>
      </c>
      <c r="AQ212" s="188">
        <f t="shared" si="180"/>
        <v>2.1974642473094317</v>
      </c>
      <c r="AR212" s="188">
        <f t="shared" si="180"/>
        <v>2.6909985836577279</v>
      </c>
      <c r="AS212" s="188">
        <f t="shared" si="180"/>
        <v>3.1774879694204601</v>
      </c>
      <c r="AT212" s="188">
        <f t="shared" si="180"/>
        <v>3.657320061602253</v>
      </c>
      <c r="AU212" s="188">
        <f t="shared" si="180"/>
        <v>4.1308486800401631</v>
      </c>
      <c r="AV212" s="188">
        <f t="shared" si="180"/>
        <v>4.6209707710526606</v>
      </c>
    </row>
    <row r="213" spans="1:48">
      <c r="A213" s="4" t="s">
        <v>16</v>
      </c>
      <c r="B213" s="96" t="str">
        <f t="shared" si="176"/>
        <v>CNW</v>
      </c>
      <c r="C213" s="96" t="str">
        <f t="shared" si="176"/>
        <v>Commercial - Water Heating</v>
      </c>
      <c r="E213" s="123"/>
      <c r="F213" s="123"/>
      <c r="I213" s="179"/>
      <c r="J213" s="188">
        <f t="shared" si="177"/>
        <v>0</v>
      </c>
      <c r="K213" s="188">
        <f t="shared" si="177"/>
        <v>0</v>
      </c>
      <c r="L213" s="188">
        <f t="shared" si="177"/>
        <v>0</v>
      </c>
      <c r="M213" s="188">
        <f t="shared" si="177"/>
        <v>0</v>
      </c>
      <c r="N213" s="188">
        <f t="shared" si="177"/>
        <v>0</v>
      </c>
      <c r="O213" s="188">
        <f t="shared" si="177"/>
        <v>0</v>
      </c>
      <c r="P213" s="188">
        <f t="shared" si="177"/>
        <v>0</v>
      </c>
      <c r="Q213" s="188">
        <f t="shared" si="177"/>
        <v>0</v>
      </c>
      <c r="R213" s="188">
        <f t="shared" si="177"/>
        <v>0</v>
      </c>
      <c r="S213" s="188">
        <f t="shared" si="177"/>
        <v>0</v>
      </c>
      <c r="T213" s="188">
        <f t="shared" si="178"/>
        <v>0</v>
      </c>
      <c r="U213" s="188">
        <f t="shared" si="178"/>
        <v>0</v>
      </c>
      <c r="V213" s="188">
        <f t="shared" si="178"/>
        <v>0</v>
      </c>
      <c r="W213" s="188">
        <f t="shared" si="178"/>
        <v>0</v>
      </c>
      <c r="X213" s="188">
        <f t="shared" si="178"/>
        <v>0</v>
      </c>
      <c r="Y213" s="188">
        <f t="shared" si="178"/>
        <v>0</v>
      </c>
      <c r="Z213" s="188">
        <f t="shared" si="178"/>
        <v>0</v>
      </c>
      <c r="AA213" s="188">
        <f t="shared" si="178"/>
        <v>0</v>
      </c>
      <c r="AB213" s="188">
        <f t="shared" si="178"/>
        <v>0</v>
      </c>
      <c r="AC213" s="188">
        <f t="shared" si="178"/>
        <v>0</v>
      </c>
      <c r="AD213" s="188">
        <f t="shared" si="179"/>
        <v>0</v>
      </c>
      <c r="AE213" s="188">
        <f t="shared" si="179"/>
        <v>0</v>
      </c>
      <c r="AF213" s="188">
        <f t="shared" si="179"/>
        <v>0</v>
      </c>
      <c r="AG213" s="188">
        <f t="shared" si="179"/>
        <v>0</v>
      </c>
      <c r="AH213" s="188">
        <f t="shared" si="179"/>
        <v>0</v>
      </c>
      <c r="AI213" s="188">
        <f t="shared" si="179"/>
        <v>0</v>
      </c>
      <c r="AJ213" s="188">
        <f t="shared" si="179"/>
        <v>0</v>
      </c>
      <c r="AK213" s="188">
        <f t="shared" si="179"/>
        <v>0</v>
      </c>
      <c r="AL213" s="188">
        <f t="shared" si="179"/>
        <v>0</v>
      </c>
      <c r="AM213" s="188">
        <f t="shared" si="179"/>
        <v>0.23487389110125426</v>
      </c>
      <c r="AN213" s="188">
        <f t="shared" si="180"/>
        <v>0.46671063352251563</v>
      </c>
      <c r="AO213" s="188">
        <f t="shared" si="180"/>
        <v>0.69566839312947759</v>
      </c>
      <c r="AP213" s="188">
        <f t="shared" si="180"/>
        <v>0.92189224603354203</v>
      </c>
      <c r="AQ213" s="188">
        <f t="shared" si="180"/>
        <v>1.1455156383381642</v>
      </c>
      <c r="AR213" s="188">
        <f t="shared" si="180"/>
        <v>1.4027900404295908</v>
      </c>
      <c r="AS213" s="188">
        <f t="shared" si="180"/>
        <v>1.6563919818304897</v>
      </c>
      <c r="AT213" s="188">
        <f t="shared" si="180"/>
        <v>1.9065235441727486</v>
      </c>
      <c r="AU213" s="188">
        <f t="shared" si="180"/>
        <v>2.1533691701188573</v>
      </c>
      <c r="AV213" s="188">
        <f t="shared" si="180"/>
        <v>2.4088648036142581</v>
      </c>
    </row>
    <row r="214" spans="1:48">
      <c r="A214" s="4" t="s">
        <v>16</v>
      </c>
      <c r="B214" s="96" t="str">
        <f t="shared" si="176"/>
        <v>CNG</v>
      </c>
      <c r="C214" s="96" t="str">
        <f t="shared" si="176"/>
        <v>Commercial - Public lights</v>
      </c>
      <c r="E214" s="123"/>
      <c r="F214" s="123"/>
      <c r="I214" s="179"/>
      <c r="J214" s="188">
        <f t="shared" si="177"/>
        <v>0</v>
      </c>
      <c r="K214" s="188">
        <f t="shared" si="177"/>
        <v>0</v>
      </c>
      <c r="L214" s="188">
        <f t="shared" si="177"/>
        <v>0</v>
      </c>
      <c r="M214" s="188">
        <f t="shared" si="177"/>
        <v>0</v>
      </c>
      <c r="N214" s="188">
        <f t="shared" si="177"/>
        <v>0</v>
      </c>
      <c r="O214" s="188">
        <f t="shared" si="177"/>
        <v>0</v>
      </c>
      <c r="P214" s="188">
        <f t="shared" si="177"/>
        <v>0</v>
      </c>
      <c r="Q214" s="188">
        <f t="shared" si="177"/>
        <v>0</v>
      </c>
      <c r="R214" s="188">
        <f t="shared" si="177"/>
        <v>0</v>
      </c>
      <c r="S214" s="188">
        <f t="shared" si="177"/>
        <v>0</v>
      </c>
      <c r="T214" s="188">
        <f t="shared" si="178"/>
        <v>0</v>
      </c>
      <c r="U214" s="188">
        <f t="shared" si="178"/>
        <v>0</v>
      </c>
      <c r="V214" s="188">
        <f t="shared" si="178"/>
        <v>0</v>
      </c>
      <c r="W214" s="188">
        <f t="shared" si="178"/>
        <v>0</v>
      </c>
      <c r="X214" s="188">
        <f t="shared" si="178"/>
        <v>0</v>
      </c>
      <c r="Y214" s="188">
        <f t="shared" si="178"/>
        <v>0</v>
      </c>
      <c r="Z214" s="188">
        <f t="shared" si="178"/>
        <v>0</v>
      </c>
      <c r="AA214" s="188">
        <f t="shared" si="178"/>
        <v>0</v>
      </c>
      <c r="AB214" s="188">
        <f t="shared" si="178"/>
        <v>0</v>
      </c>
      <c r="AC214" s="188">
        <f t="shared" si="178"/>
        <v>0</v>
      </c>
      <c r="AD214" s="188">
        <f t="shared" si="179"/>
        <v>0</v>
      </c>
      <c r="AE214" s="188">
        <f t="shared" si="179"/>
        <v>0</v>
      </c>
      <c r="AF214" s="188">
        <f t="shared" si="179"/>
        <v>0</v>
      </c>
      <c r="AG214" s="188">
        <f t="shared" si="179"/>
        <v>0</v>
      </c>
      <c r="AH214" s="188">
        <f t="shared" si="179"/>
        <v>0</v>
      </c>
      <c r="AI214" s="188">
        <f t="shared" si="179"/>
        <v>0</v>
      </c>
      <c r="AJ214" s="188">
        <f t="shared" si="179"/>
        <v>0</v>
      </c>
      <c r="AK214" s="188">
        <f t="shared" si="179"/>
        <v>0</v>
      </c>
      <c r="AL214" s="188">
        <f t="shared" si="179"/>
        <v>0</v>
      </c>
      <c r="AM214" s="188">
        <f t="shared" si="179"/>
        <v>0</v>
      </c>
      <c r="AN214" s="188">
        <f t="shared" si="180"/>
        <v>0</v>
      </c>
      <c r="AO214" s="188">
        <f t="shared" si="180"/>
        <v>0</v>
      </c>
      <c r="AP214" s="188">
        <f t="shared" si="180"/>
        <v>0</v>
      </c>
      <c r="AQ214" s="188">
        <f t="shared" si="180"/>
        <v>0</v>
      </c>
      <c r="AR214" s="188">
        <f t="shared" si="180"/>
        <v>0</v>
      </c>
      <c r="AS214" s="188">
        <f t="shared" si="180"/>
        <v>0</v>
      </c>
      <c r="AT214" s="188">
        <f t="shared" si="180"/>
        <v>0</v>
      </c>
      <c r="AU214" s="188">
        <f t="shared" si="180"/>
        <v>0</v>
      </c>
      <c r="AV214" s="188">
        <f t="shared" si="180"/>
        <v>0</v>
      </c>
    </row>
    <row r="215" spans="1:48">
      <c r="A215" s="4" t="s">
        <v>16</v>
      </c>
      <c r="B215" s="96" t="str">
        <f t="shared" si="176"/>
        <v>CNT</v>
      </c>
      <c r="C215" s="96" t="str">
        <f t="shared" si="176"/>
        <v>Commercial - Public Water</v>
      </c>
      <c r="E215" s="123"/>
      <c r="F215" s="123"/>
      <c r="I215" s="179"/>
      <c r="J215" s="188">
        <f t="shared" si="177"/>
        <v>0</v>
      </c>
      <c r="K215" s="188">
        <f t="shared" si="177"/>
        <v>0</v>
      </c>
      <c r="L215" s="188">
        <f t="shared" si="177"/>
        <v>0</v>
      </c>
      <c r="M215" s="188">
        <f t="shared" si="177"/>
        <v>0</v>
      </c>
      <c r="N215" s="188">
        <f t="shared" si="177"/>
        <v>0</v>
      </c>
      <c r="O215" s="188">
        <f t="shared" si="177"/>
        <v>0</v>
      </c>
      <c r="P215" s="188">
        <f t="shared" si="177"/>
        <v>0</v>
      </c>
      <c r="Q215" s="188">
        <f t="shared" si="177"/>
        <v>0</v>
      </c>
      <c r="R215" s="188">
        <f t="shared" si="177"/>
        <v>0</v>
      </c>
      <c r="S215" s="188">
        <f t="shared" si="177"/>
        <v>0</v>
      </c>
      <c r="T215" s="188">
        <f t="shared" si="178"/>
        <v>0</v>
      </c>
      <c r="U215" s="188">
        <f t="shared" si="178"/>
        <v>0</v>
      </c>
      <c r="V215" s="188">
        <f t="shared" si="178"/>
        <v>0</v>
      </c>
      <c r="W215" s="188">
        <f t="shared" si="178"/>
        <v>0</v>
      </c>
      <c r="X215" s="188">
        <f t="shared" si="178"/>
        <v>0</v>
      </c>
      <c r="Y215" s="188">
        <f t="shared" si="178"/>
        <v>0</v>
      </c>
      <c r="Z215" s="188">
        <f t="shared" si="178"/>
        <v>0</v>
      </c>
      <c r="AA215" s="188">
        <f t="shared" si="178"/>
        <v>0</v>
      </c>
      <c r="AB215" s="188">
        <f t="shared" si="178"/>
        <v>0</v>
      </c>
      <c r="AC215" s="188">
        <f t="shared" si="178"/>
        <v>0</v>
      </c>
      <c r="AD215" s="188">
        <f t="shared" si="179"/>
        <v>0</v>
      </c>
      <c r="AE215" s="188">
        <f t="shared" si="179"/>
        <v>0</v>
      </c>
      <c r="AF215" s="188">
        <f t="shared" si="179"/>
        <v>0</v>
      </c>
      <c r="AG215" s="188">
        <f t="shared" si="179"/>
        <v>0</v>
      </c>
      <c r="AH215" s="188">
        <f t="shared" si="179"/>
        <v>0</v>
      </c>
      <c r="AI215" s="188">
        <f t="shared" si="179"/>
        <v>0</v>
      </c>
      <c r="AJ215" s="188">
        <f t="shared" si="179"/>
        <v>0</v>
      </c>
      <c r="AK215" s="188">
        <f t="shared" si="179"/>
        <v>0</v>
      </c>
      <c r="AL215" s="188">
        <f t="shared" si="179"/>
        <v>0</v>
      </c>
      <c r="AM215" s="188">
        <f t="shared" si="179"/>
        <v>0</v>
      </c>
      <c r="AN215" s="188">
        <f t="shared" si="180"/>
        <v>0</v>
      </c>
      <c r="AO215" s="188">
        <f t="shared" si="180"/>
        <v>0</v>
      </c>
      <c r="AP215" s="188">
        <f t="shared" si="180"/>
        <v>0</v>
      </c>
      <c r="AQ215" s="188">
        <f t="shared" si="180"/>
        <v>0</v>
      </c>
      <c r="AR215" s="188">
        <f t="shared" si="180"/>
        <v>0</v>
      </c>
      <c r="AS215" s="188">
        <f t="shared" si="180"/>
        <v>0</v>
      </c>
      <c r="AT215" s="188">
        <f t="shared" si="180"/>
        <v>0</v>
      </c>
      <c r="AU215" s="188">
        <f t="shared" si="180"/>
        <v>0</v>
      </c>
      <c r="AV215" s="188">
        <f t="shared" si="180"/>
        <v>0</v>
      </c>
    </row>
    <row r="216" spans="1:48">
      <c r="A216" s="4" t="s">
        <v>16</v>
      </c>
      <c r="B216" s="96" t="str">
        <f t="shared" si="176"/>
        <v>CNO</v>
      </c>
      <c r="C216" s="96" t="str">
        <f t="shared" si="176"/>
        <v>Commercial - Other</v>
      </c>
      <c r="E216" s="123"/>
      <c r="F216" s="123"/>
      <c r="I216" s="179"/>
      <c r="J216" s="188">
        <f t="shared" si="177"/>
        <v>0</v>
      </c>
      <c r="K216" s="188">
        <f t="shared" si="177"/>
        <v>0</v>
      </c>
      <c r="L216" s="188">
        <f t="shared" si="177"/>
        <v>0</v>
      </c>
      <c r="M216" s="188">
        <f t="shared" si="177"/>
        <v>0</v>
      </c>
      <c r="N216" s="188">
        <f t="shared" si="177"/>
        <v>0</v>
      </c>
      <c r="O216" s="188">
        <f t="shared" si="177"/>
        <v>0</v>
      </c>
      <c r="P216" s="188">
        <f t="shared" si="177"/>
        <v>0</v>
      </c>
      <c r="Q216" s="188">
        <f t="shared" si="177"/>
        <v>0</v>
      </c>
      <c r="R216" s="188">
        <f t="shared" si="177"/>
        <v>0</v>
      </c>
      <c r="S216" s="188">
        <f t="shared" si="177"/>
        <v>0</v>
      </c>
      <c r="T216" s="188">
        <f t="shared" si="178"/>
        <v>0</v>
      </c>
      <c r="U216" s="188">
        <f t="shared" si="178"/>
        <v>0</v>
      </c>
      <c r="V216" s="188">
        <f t="shared" si="178"/>
        <v>0</v>
      </c>
      <c r="W216" s="188">
        <f t="shared" si="178"/>
        <v>0</v>
      </c>
      <c r="X216" s="188">
        <f t="shared" si="178"/>
        <v>0</v>
      </c>
      <c r="Y216" s="188">
        <f t="shared" si="178"/>
        <v>0</v>
      </c>
      <c r="Z216" s="188">
        <f t="shared" si="178"/>
        <v>0</v>
      </c>
      <c r="AA216" s="188">
        <f t="shared" si="178"/>
        <v>0</v>
      </c>
      <c r="AB216" s="188">
        <f t="shared" si="178"/>
        <v>0</v>
      </c>
      <c r="AC216" s="188">
        <f t="shared" si="178"/>
        <v>0</v>
      </c>
      <c r="AD216" s="188">
        <f t="shared" si="179"/>
        <v>0</v>
      </c>
      <c r="AE216" s="188">
        <f t="shared" si="179"/>
        <v>0</v>
      </c>
      <c r="AF216" s="188">
        <f t="shared" si="179"/>
        <v>0</v>
      </c>
      <c r="AG216" s="188">
        <f t="shared" si="179"/>
        <v>0</v>
      </c>
      <c r="AH216" s="188">
        <f t="shared" si="179"/>
        <v>0</v>
      </c>
      <c r="AI216" s="188">
        <f t="shared" si="179"/>
        <v>0</v>
      </c>
      <c r="AJ216" s="188">
        <f t="shared" si="179"/>
        <v>0</v>
      </c>
      <c r="AK216" s="188">
        <f t="shared" si="179"/>
        <v>0</v>
      </c>
      <c r="AL216" s="188">
        <f t="shared" si="179"/>
        <v>0</v>
      </c>
      <c r="AM216" s="188">
        <f t="shared" si="179"/>
        <v>0.30079250024119936</v>
      </c>
      <c r="AN216" s="188">
        <f t="shared" si="180"/>
        <v>0.59769545984092542</v>
      </c>
      <c r="AO216" s="188">
        <f t="shared" si="180"/>
        <v>0.8909114347579169</v>
      </c>
      <c r="AP216" s="188">
        <f t="shared" si="180"/>
        <v>1.1806262174873263</v>
      </c>
      <c r="AQ216" s="188">
        <f t="shared" si="180"/>
        <v>1.467010706492655</v>
      </c>
      <c r="AR216" s="188">
        <f t="shared" si="180"/>
        <v>1.7964905405018705</v>
      </c>
      <c r="AS216" s="188">
        <f t="shared" si="180"/>
        <v>2.121267218157854</v>
      </c>
      <c r="AT216" s="188">
        <f t="shared" si="180"/>
        <v>2.4415995363793392</v>
      </c>
      <c r="AU216" s="188">
        <f t="shared" si="180"/>
        <v>2.7577237026449071</v>
      </c>
      <c r="AV216" s="188">
        <f t="shared" si="180"/>
        <v>3.0849255471728725</v>
      </c>
    </row>
    <row r="217" spans="1:48">
      <c r="A217" s="4" t="s">
        <v>16</v>
      </c>
      <c r="E217" s="123"/>
      <c r="F217" s="123"/>
      <c r="I217" s="179"/>
      <c r="J217" s="188"/>
      <c r="K217" s="188"/>
      <c r="L217" s="188"/>
      <c r="M217" s="188"/>
      <c r="N217" s="188"/>
      <c r="O217" s="188"/>
      <c r="P217" s="188"/>
      <c r="Q217" s="188"/>
      <c r="R217" s="188"/>
      <c r="S217" s="188"/>
      <c r="T217" s="188"/>
      <c r="U217" s="188"/>
      <c r="V217" s="188"/>
      <c r="W217" s="188"/>
      <c r="X217" s="188"/>
      <c r="Y217" s="188"/>
      <c r="Z217" s="188"/>
      <c r="AA217" s="188"/>
      <c r="AB217" s="188"/>
      <c r="AC217" s="188"/>
      <c r="AD217" s="188"/>
      <c r="AE217" s="188"/>
      <c r="AF217" s="188"/>
      <c r="AG217" s="188"/>
      <c r="AH217" s="188"/>
      <c r="AI217" s="188"/>
      <c r="AJ217" s="188"/>
      <c r="AK217" s="188"/>
      <c r="AL217" s="188"/>
      <c r="AM217" s="188"/>
      <c r="AN217" s="188"/>
      <c r="AO217" s="188"/>
      <c r="AP217" s="188"/>
      <c r="AQ217" s="188"/>
      <c r="AR217" s="188"/>
      <c r="AS217" s="188"/>
      <c r="AT217" s="188"/>
      <c r="AU217" s="188"/>
      <c r="AV217" s="188"/>
    </row>
    <row r="218" spans="1:48" ht="15.75" thickBot="1">
      <c r="A218" s="4" t="s">
        <v>16</v>
      </c>
      <c r="B218" s="94" t="s">
        <v>494</v>
      </c>
      <c r="C218" s="94"/>
      <c r="D218" s="94"/>
      <c r="E218" s="94"/>
      <c r="F218" s="94"/>
      <c r="G218" s="94"/>
      <c r="H218" s="94"/>
      <c r="I218" s="180"/>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row>
    <row r="219" spans="1:48">
      <c r="A219" s="4" t="s">
        <v>16</v>
      </c>
      <c r="E219" s="123"/>
      <c r="F219" s="123"/>
      <c r="I219" s="179"/>
      <c r="J219" s="188"/>
      <c r="K219" s="188"/>
      <c r="L219" s="188"/>
      <c r="M219" s="188"/>
      <c r="N219" s="188"/>
      <c r="O219" s="188"/>
      <c r="P219" s="188"/>
      <c r="Q219" s="188"/>
      <c r="R219" s="188"/>
      <c r="S219" s="188"/>
      <c r="T219" s="188"/>
      <c r="U219" s="188"/>
      <c r="V219" s="188"/>
      <c r="W219" s="188"/>
      <c r="X219" s="188"/>
      <c r="Y219" s="188"/>
      <c r="Z219" s="188"/>
      <c r="AA219" s="188"/>
      <c r="AB219" s="188"/>
      <c r="AC219" s="188"/>
      <c r="AD219" s="188"/>
      <c r="AE219" s="188"/>
      <c r="AF219" s="188"/>
      <c r="AG219" s="188"/>
      <c r="AH219" s="188"/>
      <c r="AI219" s="188"/>
      <c r="AJ219" s="188"/>
      <c r="AK219" s="188"/>
      <c r="AL219" s="188"/>
      <c r="AM219" s="188"/>
      <c r="AN219" s="188"/>
      <c r="AO219" s="188"/>
      <c r="AP219" s="188"/>
      <c r="AQ219" s="188"/>
      <c r="AR219" s="188"/>
      <c r="AS219" s="188"/>
      <c r="AT219" s="188"/>
      <c r="AU219" s="188"/>
      <c r="AV219" s="188"/>
    </row>
    <row r="220" spans="1:48">
      <c r="A220" s="4" t="s">
        <v>16</v>
      </c>
      <c r="B220" s="96" t="str">
        <f t="shared" ref="B220:C228" si="181">B208</f>
        <v>CNC</v>
      </c>
      <c r="C220" s="96" t="str">
        <f t="shared" si="181"/>
        <v>Commercial - Cooling</v>
      </c>
      <c r="E220" s="123"/>
      <c r="F220" s="123"/>
      <c r="I220" s="179"/>
      <c r="J220" s="188">
        <f t="shared" ref="J220:AV226" si="182">J186+J197+J208</f>
        <v>0</v>
      </c>
      <c r="K220" s="188">
        <f t="shared" si="182"/>
        <v>0</v>
      </c>
      <c r="L220" s="188">
        <f t="shared" si="182"/>
        <v>0</v>
      </c>
      <c r="M220" s="188">
        <f t="shared" si="182"/>
        <v>0</v>
      </c>
      <c r="N220" s="188">
        <f t="shared" si="182"/>
        <v>0</v>
      </c>
      <c r="O220" s="188">
        <f t="shared" si="182"/>
        <v>0</v>
      </c>
      <c r="P220" s="188">
        <f t="shared" si="182"/>
        <v>1.5826011087333609</v>
      </c>
      <c r="Q220" s="188">
        <f t="shared" si="182"/>
        <v>3.2727888378763019</v>
      </c>
      <c r="R220" s="188">
        <f t="shared" si="182"/>
        <v>4.2350555604682834</v>
      </c>
      <c r="S220" s="188">
        <f t="shared" si="182"/>
        <v>6.0488138591626592</v>
      </c>
      <c r="T220" s="188">
        <f t="shared" si="182"/>
        <v>7.7403712998837166</v>
      </c>
      <c r="U220" s="188">
        <f t="shared" si="182"/>
        <v>9.3203688741353421</v>
      </c>
      <c r="V220" s="188">
        <f t="shared" si="182"/>
        <v>10.777329015219186</v>
      </c>
      <c r="W220" s="188">
        <f t="shared" si="182"/>
        <v>12.16194619481365</v>
      </c>
      <c r="X220" s="188">
        <f t="shared" si="182"/>
        <v>13.582060883437038</v>
      </c>
      <c r="Y220" s="188">
        <f t="shared" si="182"/>
        <v>14.877739889458754</v>
      </c>
      <c r="Z220" s="188">
        <f t="shared" si="182"/>
        <v>16.100264002882231</v>
      </c>
      <c r="AA220" s="188">
        <f t="shared" si="182"/>
        <v>17.236212604013634</v>
      </c>
      <c r="AB220" s="188">
        <f t="shared" si="182"/>
        <v>18.28145879548449</v>
      </c>
      <c r="AC220" s="188">
        <f t="shared" si="182"/>
        <v>19.996245125845302</v>
      </c>
      <c r="AD220" s="188">
        <f t="shared" si="182"/>
        <v>21.680969720233577</v>
      </c>
      <c r="AE220" s="188">
        <f t="shared" si="182"/>
        <v>23.441470067431219</v>
      </c>
      <c r="AF220" s="188">
        <f t="shared" si="182"/>
        <v>25.26059301240225</v>
      </c>
      <c r="AG220" s="188">
        <f t="shared" si="182"/>
        <v>27.1320352096579</v>
      </c>
      <c r="AH220" s="188">
        <f t="shared" si="182"/>
        <v>29.037888489820382</v>
      </c>
      <c r="AI220" s="188">
        <f t="shared" si="182"/>
        <v>30.972069827789475</v>
      </c>
      <c r="AJ220" s="188">
        <f t="shared" si="182"/>
        <v>32.907372364971572</v>
      </c>
      <c r="AK220" s="188">
        <f t="shared" si="182"/>
        <v>34.872431233361006</v>
      </c>
      <c r="AL220" s="188">
        <f t="shared" si="182"/>
        <v>36.892414420409338</v>
      </c>
      <c r="AM220" s="188">
        <f t="shared" si="182"/>
        <v>39.02076386178193</v>
      </c>
      <c r="AN220" s="188">
        <f t="shared" si="182"/>
        <v>41.121591667326371</v>
      </c>
      <c r="AO220" s="188">
        <f t="shared" si="182"/>
        <v>43.196331083753549</v>
      </c>
      <c r="AP220" s="188">
        <f t="shared" si="182"/>
        <v>45.246296742754588</v>
      </c>
      <c r="AQ220" s="188">
        <f t="shared" si="182"/>
        <v>47.272697888738946</v>
      </c>
      <c r="AR220" s="188">
        <f t="shared" si="182"/>
        <v>49.604033344558921</v>
      </c>
      <c r="AS220" s="188">
        <f t="shared" si="182"/>
        <v>51.902090177444279</v>
      </c>
      <c r="AT220" s="188">
        <f t="shared" si="182"/>
        <v>54.168699584239924</v>
      </c>
      <c r="AU220" s="188">
        <f t="shared" si="182"/>
        <v>56.405532923289854</v>
      </c>
      <c r="AV220" s="188">
        <f t="shared" si="182"/>
        <v>58.720749766990238</v>
      </c>
    </row>
    <row r="221" spans="1:48">
      <c r="A221" s="4" t="s">
        <v>16</v>
      </c>
      <c r="B221" s="96" t="str">
        <f t="shared" si="181"/>
        <v>CNH</v>
      </c>
      <c r="C221" s="96" t="str">
        <f t="shared" si="181"/>
        <v>Commercial - Space Heating</v>
      </c>
      <c r="E221" s="123"/>
      <c r="F221" s="123"/>
      <c r="I221" s="179"/>
      <c r="J221" s="188">
        <f t="shared" si="182"/>
        <v>0</v>
      </c>
      <c r="K221" s="188">
        <f t="shared" si="182"/>
        <v>0</v>
      </c>
      <c r="L221" s="188">
        <f t="shared" si="182"/>
        <v>0</v>
      </c>
      <c r="M221" s="188">
        <f t="shared" si="182"/>
        <v>0</v>
      </c>
      <c r="N221" s="188">
        <f t="shared" si="182"/>
        <v>0</v>
      </c>
      <c r="O221" s="188">
        <f t="shared" si="182"/>
        <v>0</v>
      </c>
      <c r="P221" s="188">
        <f t="shared" si="182"/>
        <v>0.15092687254753431</v>
      </c>
      <c r="Q221" s="188">
        <f t="shared" si="182"/>
        <v>0.31211388712123755</v>
      </c>
      <c r="R221" s="188">
        <f t="shared" si="182"/>
        <v>0.40388174081218448</v>
      </c>
      <c r="S221" s="188">
        <f t="shared" si="182"/>
        <v>0.57685322811145179</v>
      </c>
      <c r="T221" s="188">
        <f t="shared" si="182"/>
        <v>0.73817086706272961</v>
      </c>
      <c r="U221" s="188">
        <f t="shared" si="182"/>
        <v>0.88884945006040228</v>
      </c>
      <c r="V221" s="188">
        <f t="shared" si="182"/>
        <v>1.0277944035971733</v>
      </c>
      <c r="W221" s="188">
        <f t="shared" si="182"/>
        <v>1.1598402738032385</v>
      </c>
      <c r="X221" s="188">
        <f t="shared" si="182"/>
        <v>1.2952714114600838</v>
      </c>
      <c r="Y221" s="188">
        <f t="shared" si="182"/>
        <v>1.4188355737276477</v>
      </c>
      <c r="Z221" s="188">
        <f t="shared" si="182"/>
        <v>1.5354232217677954</v>
      </c>
      <c r="AA221" s="188">
        <f t="shared" si="182"/>
        <v>1.6437544802241517</v>
      </c>
      <c r="AB221" s="188">
        <f t="shared" si="182"/>
        <v>1.743435782006618</v>
      </c>
      <c r="AC221" s="188">
        <f t="shared" si="182"/>
        <v>1.9069686751029447</v>
      </c>
      <c r="AD221" s="188">
        <f t="shared" si="182"/>
        <v>2.0676346905200838</v>
      </c>
      <c r="AE221" s="188">
        <f t="shared" si="182"/>
        <v>2.2355271620058694</v>
      </c>
      <c r="AF221" s="188">
        <f t="shared" si="182"/>
        <v>2.4090102559761992</v>
      </c>
      <c r="AG221" s="188">
        <f t="shared" si="182"/>
        <v>2.5874828454534939</v>
      </c>
      <c r="AH221" s="188">
        <f t="shared" si="182"/>
        <v>2.7692370939005966</v>
      </c>
      <c r="AI221" s="188">
        <f t="shared" si="182"/>
        <v>2.9536928854886106</v>
      </c>
      <c r="AJ221" s="188">
        <f t="shared" si="182"/>
        <v>3.138255601739945</v>
      </c>
      <c r="AK221" s="188">
        <f t="shared" si="182"/>
        <v>3.3256560703363447</v>
      </c>
      <c r="AL221" s="188">
        <f t="shared" si="182"/>
        <v>3.5182944700805541</v>
      </c>
      <c r="AM221" s="188">
        <f t="shared" si="182"/>
        <v>3.7212673626824997</v>
      </c>
      <c r="AN221" s="188">
        <f t="shared" si="182"/>
        <v>3.9216156176546519</v>
      </c>
      <c r="AO221" s="188">
        <f t="shared" si="182"/>
        <v>4.1194759184875442</v>
      </c>
      <c r="AP221" s="188">
        <f t="shared" si="182"/>
        <v>4.3149736367916187</v>
      </c>
      <c r="AQ221" s="188">
        <f t="shared" si="182"/>
        <v>4.5082240937781792</v>
      </c>
      <c r="AR221" s="188">
        <f t="shared" si="182"/>
        <v>4.7305550192807537</v>
      </c>
      <c r="AS221" s="188">
        <f t="shared" si="182"/>
        <v>4.949712284374213</v>
      </c>
      <c r="AT221" s="188">
        <f t="shared" si="182"/>
        <v>5.1658705235961495</v>
      </c>
      <c r="AU221" s="188">
        <f t="shared" si="182"/>
        <v>5.3791891282716273</v>
      </c>
      <c r="AV221" s="188">
        <f t="shared" si="182"/>
        <v>5.5999828807597307</v>
      </c>
    </row>
    <row r="222" spans="1:48">
      <c r="A222" s="4" t="s">
        <v>16</v>
      </c>
      <c r="B222" s="96" t="str">
        <f t="shared" si="181"/>
        <v>CNK</v>
      </c>
      <c r="C222" s="96" t="str">
        <f t="shared" si="181"/>
        <v>Commercial - Cooking</v>
      </c>
      <c r="E222" s="123"/>
      <c r="F222" s="123"/>
      <c r="I222" s="179"/>
      <c r="J222" s="188">
        <f t="shared" si="182"/>
        <v>0</v>
      </c>
      <c r="K222" s="188">
        <f t="shared" si="182"/>
        <v>0</v>
      </c>
      <c r="L222" s="188">
        <f t="shared" si="182"/>
        <v>0</v>
      </c>
      <c r="M222" s="188">
        <f t="shared" si="182"/>
        <v>0</v>
      </c>
      <c r="N222" s="188">
        <f t="shared" si="182"/>
        <v>0</v>
      </c>
      <c r="O222" s="188">
        <f t="shared" si="182"/>
        <v>0</v>
      </c>
      <c r="P222" s="188">
        <f t="shared" si="182"/>
        <v>0.1128855701047503</v>
      </c>
      <c r="Q222" s="188">
        <f t="shared" si="182"/>
        <v>0.23344520091472726</v>
      </c>
      <c r="R222" s="188">
        <f t="shared" si="182"/>
        <v>0.30208285507355981</v>
      </c>
      <c r="S222" s="188">
        <f t="shared" si="182"/>
        <v>0.43145666787482001</v>
      </c>
      <c r="T222" s="188">
        <f t="shared" si="182"/>
        <v>0.55211399902856739</v>
      </c>
      <c r="U222" s="188">
        <f t="shared" si="182"/>
        <v>0.66481386126755415</v>
      </c>
      <c r="V222" s="188">
        <f t="shared" si="182"/>
        <v>0.76873756967300377</v>
      </c>
      <c r="W222" s="188">
        <f t="shared" si="182"/>
        <v>0.867501117122083</v>
      </c>
      <c r="X222" s="188">
        <f t="shared" si="182"/>
        <v>0.96879667122900903</v>
      </c>
      <c r="Y222" s="188">
        <f t="shared" si="182"/>
        <v>1.0612163355780249</v>
      </c>
      <c r="Z222" s="188">
        <f t="shared" si="182"/>
        <v>1.148417924625986</v>
      </c>
      <c r="AA222" s="188">
        <f t="shared" si="182"/>
        <v>1.2294441571622712</v>
      </c>
      <c r="AB222" s="188">
        <f t="shared" si="182"/>
        <v>1.3040006651622194</v>
      </c>
      <c r="AC222" s="188">
        <f t="shared" si="182"/>
        <v>1.4263148929498779</v>
      </c>
      <c r="AD222" s="188">
        <f t="shared" si="182"/>
        <v>1.5464848430766198</v>
      </c>
      <c r="AE222" s="188">
        <f t="shared" si="182"/>
        <v>1.672059812199493</v>
      </c>
      <c r="AF222" s="188">
        <f t="shared" si="182"/>
        <v>1.8018162805859215</v>
      </c>
      <c r="AG222" s="188">
        <f t="shared" si="182"/>
        <v>1.9353046360467441</v>
      </c>
      <c r="AH222" s="188">
        <f t="shared" si="182"/>
        <v>2.0712475043285314</v>
      </c>
      <c r="AI222" s="188">
        <f t="shared" si="182"/>
        <v>2.2092109885051348</v>
      </c>
      <c r="AJ222" s="188">
        <f t="shared" si="182"/>
        <v>2.3472544468531593</v>
      </c>
      <c r="AK222" s="188">
        <f t="shared" si="182"/>
        <v>2.4874203986039927</v>
      </c>
      <c r="AL222" s="188">
        <f t="shared" si="182"/>
        <v>2.6315040545635564</v>
      </c>
      <c r="AM222" s="188">
        <f t="shared" si="182"/>
        <v>2.7833173818420671</v>
      </c>
      <c r="AN222" s="188">
        <f t="shared" si="182"/>
        <v>2.933167614608934</v>
      </c>
      <c r="AO222" s="188">
        <f t="shared" si="182"/>
        <v>3.0811569851140694</v>
      </c>
      <c r="AP222" s="188">
        <f t="shared" si="182"/>
        <v>3.2273792649004793</v>
      </c>
      <c r="AQ222" s="188">
        <f t="shared" si="182"/>
        <v>3.3719207083273988</v>
      </c>
      <c r="AR222" s="188">
        <f t="shared" si="182"/>
        <v>3.5382128526860543</v>
      </c>
      <c r="AS222" s="188">
        <f t="shared" si="182"/>
        <v>3.702131261615393</v>
      </c>
      <c r="AT222" s="188">
        <f t="shared" si="182"/>
        <v>3.8638065528046561</v>
      </c>
      <c r="AU222" s="188">
        <f t="shared" si="182"/>
        <v>4.0233579428008746</v>
      </c>
      <c r="AV222" s="188">
        <f t="shared" si="182"/>
        <v>4.188500360479587</v>
      </c>
    </row>
    <row r="223" spans="1:48">
      <c r="A223" s="4" t="s">
        <v>16</v>
      </c>
      <c r="B223" s="96" t="str">
        <f t="shared" si="181"/>
        <v>CNL</v>
      </c>
      <c r="C223" s="96" t="str">
        <f t="shared" si="181"/>
        <v>Commercial - Lighting</v>
      </c>
      <c r="E223" s="123"/>
      <c r="F223" s="123"/>
      <c r="I223" s="179"/>
      <c r="J223" s="188">
        <f t="shared" si="182"/>
        <v>0</v>
      </c>
      <c r="K223" s="188">
        <f t="shared" si="182"/>
        <v>0</v>
      </c>
      <c r="L223" s="188">
        <f t="shared" si="182"/>
        <v>0</v>
      </c>
      <c r="M223" s="188">
        <f t="shared" si="182"/>
        <v>0</v>
      </c>
      <c r="N223" s="188">
        <f t="shared" si="182"/>
        <v>0</v>
      </c>
      <c r="O223" s="188">
        <f t="shared" si="182"/>
        <v>0</v>
      </c>
      <c r="P223" s="188">
        <f t="shared" si="182"/>
        <v>1.3772283906971867</v>
      </c>
      <c r="Q223" s="188">
        <f t="shared" si="182"/>
        <v>2.848081983139509</v>
      </c>
      <c r="R223" s="188">
        <f t="shared" si="182"/>
        <v>3.6854762213107977</v>
      </c>
      <c r="S223" s="188">
        <f t="shared" si="182"/>
        <v>5.2638647419809068</v>
      </c>
      <c r="T223" s="188">
        <f t="shared" si="182"/>
        <v>6.7359102997656253</v>
      </c>
      <c r="U223" s="188">
        <f t="shared" si="182"/>
        <v>8.1108730143018271</v>
      </c>
      <c r="V223" s="188">
        <f t="shared" si="182"/>
        <v>9.3787647523663935</v>
      </c>
      <c r="W223" s="188">
        <f t="shared" si="182"/>
        <v>10.583701409785258</v>
      </c>
      <c r="X223" s="188">
        <f t="shared" si="182"/>
        <v>11.819529096512694</v>
      </c>
      <c r="Y223" s="188">
        <f t="shared" si="182"/>
        <v>12.947069006902119</v>
      </c>
      <c r="Z223" s="188">
        <f t="shared" si="182"/>
        <v>14.010947269104445</v>
      </c>
      <c r="AA223" s="188">
        <f t="shared" si="182"/>
        <v>14.999484845135242</v>
      </c>
      <c r="AB223" s="188">
        <f t="shared" si="182"/>
        <v>15.909090381374188</v>
      </c>
      <c r="AC223" s="188">
        <f t="shared" si="182"/>
        <v>17.401350436747531</v>
      </c>
      <c r="AD223" s="188">
        <f t="shared" si="182"/>
        <v>18.867449840503383</v>
      </c>
      <c r="AE223" s="188">
        <f t="shared" si="182"/>
        <v>20.399491645992448</v>
      </c>
      <c r="AF223" s="188">
        <f t="shared" si="182"/>
        <v>21.982548647631944</v>
      </c>
      <c r="AG223" s="188">
        <f t="shared" si="182"/>
        <v>23.611135479390224</v>
      </c>
      <c r="AH223" s="188">
        <f t="shared" si="182"/>
        <v>25.269667898872662</v>
      </c>
      <c r="AI223" s="188">
        <f t="shared" si="182"/>
        <v>26.952852269658106</v>
      </c>
      <c r="AJ223" s="188">
        <f t="shared" si="182"/>
        <v>28.637012342646244</v>
      </c>
      <c r="AK223" s="188">
        <f t="shared" si="182"/>
        <v>30.347067294587504</v>
      </c>
      <c r="AL223" s="188">
        <f t="shared" si="182"/>
        <v>32.104919085908762</v>
      </c>
      <c r="AM223" s="188">
        <f t="shared" si="182"/>
        <v>33.957074540500123</v>
      </c>
      <c r="AN223" s="188">
        <f t="shared" si="182"/>
        <v>35.785279817114365</v>
      </c>
      <c r="AO223" s="188">
        <f t="shared" si="182"/>
        <v>37.590782171329785</v>
      </c>
      <c r="AP223" s="188">
        <f t="shared" si="182"/>
        <v>39.374725636269041</v>
      </c>
      <c r="AQ223" s="188">
        <f t="shared" si="182"/>
        <v>41.138162533785561</v>
      </c>
      <c r="AR223" s="188">
        <f t="shared" si="182"/>
        <v>43.166962690866207</v>
      </c>
      <c r="AS223" s="188">
        <f t="shared" si="182"/>
        <v>45.166802761886032</v>
      </c>
      <c r="AT223" s="188">
        <f t="shared" si="182"/>
        <v>47.139276310927514</v>
      </c>
      <c r="AU223" s="188">
        <f t="shared" si="182"/>
        <v>49.085837805670266</v>
      </c>
      <c r="AV223" s="188">
        <f t="shared" si="182"/>
        <v>51.100611048383634</v>
      </c>
    </row>
    <row r="224" spans="1:48">
      <c r="A224" s="4" t="s">
        <v>16</v>
      </c>
      <c r="B224" s="96" t="str">
        <f t="shared" si="181"/>
        <v>CNR</v>
      </c>
      <c r="C224" s="96" t="str">
        <f t="shared" si="181"/>
        <v>Commercial - Refrigeration</v>
      </c>
      <c r="E224" s="123"/>
      <c r="F224" s="123"/>
      <c r="I224" s="179"/>
      <c r="J224" s="188">
        <f t="shared" si="182"/>
        <v>0</v>
      </c>
      <c r="K224" s="188">
        <f t="shared" si="182"/>
        <v>0</v>
      </c>
      <c r="L224" s="188">
        <f t="shared" si="182"/>
        <v>0</v>
      </c>
      <c r="M224" s="188">
        <f t="shared" si="182"/>
        <v>0</v>
      </c>
      <c r="N224" s="188">
        <f t="shared" si="182"/>
        <v>0</v>
      </c>
      <c r="O224" s="188">
        <f t="shared" si="182"/>
        <v>0</v>
      </c>
      <c r="P224" s="188">
        <f t="shared" si="182"/>
        <v>0.3350302874487357</v>
      </c>
      <c r="Q224" s="188">
        <f t="shared" si="182"/>
        <v>0.69283622958553637</v>
      </c>
      <c r="R224" s="188">
        <f t="shared" si="182"/>
        <v>0.89654422327597971</v>
      </c>
      <c r="S224" s="188">
        <f t="shared" si="182"/>
        <v>1.2805095578260435</v>
      </c>
      <c r="T224" s="188">
        <f t="shared" si="182"/>
        <v>1.6386054623931785</v>
      </c>
      <c r="U224" s="188">
        <f t="shared" si="182"/>
        <v>1.9730845920669164</v>
      </c>
      <c r="V224" s="188">
        <f t="shared" si="182"/>
        <v>2.2815171921548463</v>
      </c>
      <c r="W224" s="188">
        <f t="shared" si="182"/>
        <v>2.5746350783525034</v>
      </c>
      <c r="X224" s="188">
        <f t="shared" si="182"/>
        <v>2.8752676443946563</v>
      </c>
      <c r="Y224" s="188">
        <f t="shared" si="182"/>
        <v>3.1495576770714151</v>
      </c>
      <c r="Z224" s="188">
        <f t="shared" si="182"/>
        <v>3.4083611133087937</v>
      </c>
      <c r="AA224" s="188">
        <f t="shared" si="182"/>
        <v>3.6488368619127112</v>
      </c>
      <c r="AB224" s="188">
        <f t="shared" si="182"/>
        <v>3.8701112753139801</v>
      </c>
      <c r="AC224" s="188">
        <f t="shared" si="182"/>
        <v>4.233124642361191</v>
      </c>
      <c r="AD224" s="188">
        <f t="shared" si="182"/>
        <v>4.5897740608502273</v>
      </c>
      <c r="AE224" s="188">
        <f t="shared" si="182"/>
        <v>4.9624649013408488</v>
      </c>
      <c r="AF224" s="188">
        <f t="shared" si="182"/>
        <v>5.3475659099241293</v>
      </c>
      <c r="AG224" s="188">
        <f t="shared" si="182"/>
        <v>5.7437426937203107</v>
      </c>
      <c r="AH224" s="188">
        <f t="shared" si="182"/>
        <v>6.147204165321952</v>
      </c>
      <c r="AI224" s="188">
        <f t="shared" si="182"/>
        <v>6.5566625727891399</v>
      </c>
      <c r="AJ224" s="188">
        <f t="shared" si="182"/>
        <v>6.9663583336188051</v>
      </c>
      <c r="AK224" s="188">
        <f t="shared" si="182"/>
        <v>7.3823533900465828</v>
      </c>
      <c r="AL224" s="188">
        <f t="shared" si="182"/>
        <v>7.8099757037577477</v>
      </c>
      <c r="AM224" s="188">
        <f t="shared" si="182"/>
        <v>8.2605387175200189</v>
      </c>
      <c r="AN224" s="188">
        <f t="shared" si="182"/>
        <v>8.7052755117051142</v>
      </c>
      <c r="AO224" s="188">
        <f t="shared" si="182"/>
        <v>9.1444894988753518</v>
      </c>
      <c r="AP224" s="188">
        <f t="shared" si="182"/>
        <v>9.5784589812705967</v>
      </c>
      <c r="AQ224" s="188">
        <f t="shared" si="182"/>
        <v>10.00743995106718</v>
      </c>
      <c r="AR224" s="188">
        <f t="shared" si="182"/>
        <v>10.500974287415476</v>
      </c>
      <c r="AS224" s="188">
        <f t="shared" si="182"/>
        <v>10.987463673178208</v>
      </c>
      <c r="AT224" s="188">
        <f t="shared" si="182"/>
        <v>11.467295765360001</v>
      </c>
      <c r="AU224" s="188">
        <f t="shared" si="182"/>
        <v>11.94082438379791</v>
      </c>
      <c r="AV224" s="188">
        <f t="shared" si="182"/>
        <v>12.430946474810408</v>
      </c>
    </row>
    <row r="225" spans="1:48">
      <c r="A225" s="4" t="s">
        <v>16</v>
      </c>
      <c r="B225" s="96" t="str">
        <f t="shared" si="181"/>
        <v>CNW</v>
      </c>
      <c r="C225" s="96" t="str">
        <f t="shared" si="181"/>
        <v>Commercial - Water Heating</v>
      </c>
      <c r="E225" s="123"/>
      <c r="F225" s="123"/>
      <c r="I225" s="179"/>
      <c r="J225" s="188">
        <f t="shared" si="182"/>
        <v>0</v>
      </c>
      <c r="K225" s="188">
        <f t="shared" si="182"/>
        <v>0</v>
      </c>
      <c r="L225" s="188">
        <f t="shared" si="182"/>
        <v>0</v>
      </c>
      <c r="M225" s="188">
        <f t="shared" si="182"/>
        <v>0</v>
      </c>
      <c r="N225" s="188">
        <f t="shared" si="182"/>
        <v>0</v>
      </c>
      <c r="O225" s="188">
        <f t="shared" si="182"/>
        <v>0</v>
      </c>
      <c r="P225" s="188">
        <f t="shared" si="182"/>
        <v>0.17464786244388691</v>
      </c>
      <c r="Q225" s="188">
        <f t="shared" si="182"/>
        <v>0.36116844074675197</v>
      </c>
      <c r="R225" s="188">
        <f t="shared" si="182"/>
        <v>0.46735933450650663</v>
      </c>
      <c r="S225" s="188">
        <f t="shared" si="182"/>
        <v>0.66751653653852128</v>
      </c>
      <c r="T225" s="188">
        <f t="shared" si="182"/>
        <v>0.85418826929083191</v>
      </c>
      <c r="U225" s="188">
        <f t="shared" si="182"/>
        <v>1.0285488188233827</v>
      </c>
      <c r="V225" s="188">
        <f t="shared" si="182"/>
        <v>1.1893315788644716</v>
      </c>
      <c r="W225" s="188">
        <f t="shared" si="182"/>
        <v>1.3421309351803521</v>
      </c>
      <c r="X225" s="188">
        <f t="shared" si="182"/>
        <v>1.4988476172454521</v>
      </c>
      <c r="Y225" s="188">
        <f t="shared" si="182"/>
        <v>1.6418322060760655</v>
      </c>
      <c r="Z225" s="188">
        <f t="shared" si="182"/>
        <v>1.7767437905664885</v>
      </c>
      <c r="AA225" s="188">
        <f t="shared" si="182"/>
        <v>1.9021013389334969</v>
      </c>
      <c r="AB225" s="188">
        <f t="shared" si="182"/>
        <v>2.0174494276341952</v>
      </c>
      <c r="AC225" s="188">
        <f t="shared" si="182"/>
        <v>2.2066845832857704</v>
      </c>
      <c r="AD225" s="188">
        <f t="shared" si="182"/>
        <v>2.3926022776389906</v>
      </c>
      <c r="AE225" s="188">
        <f t="shared" si="182"/>
        <v>2.5868822012236974</v>
      </c>
      <c r="AF225" s="188">
        <f t="shared" si="182"/>
        <v>2.7876314185145254</v>
      </c>
      <c r="AG225" s="188">
        <f t="shared" si="182"/>
        <v>2.9941543241502857</v>
      </c>
      <c r="AH225" s="188">
        <f t="shared" si="182"/>
        <v>3.204474663037479</v>
      </c>
      <c r="AI225" s="188">
        <f t="shared" si="182"/>
        <v>3.4179211432598509</v>
      </c>
      <c r="AJ225" s="188">
        <f t="shared" si="182"/>
        <v>3.6314913533626361</v>
      </c>
      <c r="AK225" s="188">
        <f t="shared" si="182"/>
        <v>3.8483453218369115</v>
      </c>
      <c r="AL225" s="188">
        <f t="shared" si="182"/>
        <v>4.0712604606193779</v>
      </c>
      <c r="AM225" s="188">
        <f t="shared" si="182"/>
        <v>4.3061343517206323</v>
      </c>
      <c r="AN225" s="188">
        <f t="shared" si="182"/>
        <v>4.5379710941418931</v>
      </c>
      <c r="AO225" s="188">
        <f t="shared" si="182"/>
        <v>4.7669288537488557</v>
      </c>
      <c r="AP225" s="188">
        <f t="shared" si="182"/>
        <v>4.9931527066529195</v>
      </c>
      <c r="AQ225" s="188">
        <f t="shared" si="182"/>
        <v>5.216776098957542</v>
      </c>
      <c r="AR225" s="188">
        <f t="shared" si="182"/>
        <v>5.4740505010489686</v>
      </c>
      <c r="AS225" s="188">
        <f t="shared" si="182"/>
        <v>5.7276524424498678</v>
      </c>
      <c r="AT225" s="188">
        <f t="shared" si="182"/>
        <v>5.9777840047921265</v>
      </c>
      <c r="AU225" s="188">
        <f t="shared" si="182"/>
        <v>6.2246296307382352</v>
      </c>
      <c r="AV225" s="188">
        <f t="shared" si="182"/>
        <v>6.480125264233636</v>
      </c>
    </row>
    <row r="226" spans="1:48">
      <c r="A226" s="4" t="s">
        <v>16</v>
      </c>
      <c r="B226" s="96" t="str">
        <f t="shared" si="181"/>
        <v>CNG</v>
      </c>
      <c r="C226" s="96" t="str">
        <f t="shared" si="181"/>
        <v>Commercial - Public lights</v>
      </c>
      <c r="E226" s="123"/>
      <c r="F226" s="123"/>
      <c r="I226" s="179"/>
      <c r="J226" s="188">
        <f t="shared" si="182"/>
        <v>0</v>
      </c>
      <c r="K226" s="188">
        <f t="shared" si="182"/>
        <v>0</v>
      </c>
      <c r="L226" s="188">
        <f t="shared" si="182"/>
        <v>0</v>
      </c>
      <c r="M226" s="188">
        <f t="shared" si="182"/>
        <v>0</v>
      </c>
      <c r="N226" s="188">
        <f t="shared" si="182"/>
        <v>0</v>
      </c>
      <c r="O226" s="188">
        <f t="shared" si="182"/>
        <v>0</v>
      </c>
      <c r="P226" s="188">
        <f t="shared" si="182"/>
        <v>0</v>
      </c>
      <c r="Q226" s="188">
        <f t="shared" si="182"/>
        <v>0</v>
      </c>
      <c r="R226" s="188">
        <f t="shared" si="182"/>
        <v>0</v>
      </c>
      <c r="S226" s="188">
        <f t="shared" si="182"/>
        <v>0</v>
      </c>
      <c r="T226" s="188">
        <f t="shared" si="182"/>
        <v>0</v>
      </c>
      <c r="U226" s="188">
        <f t="shared" si="182"/>
        <v>0</v>
      </c>
      <c r="V226" s="188">
        <f t="shared" si="182"/>
        <v>0</v>
      </c>
      <c r="W226" s="188">
        <f t="shared" si="182"/>
        <v>0</v>
      </c>
      <c r="X226" s="188">
        <f t="shared" si="182"/>
        <v>0</v>
      </c>
      <c r="Y226" s="188">
        <f t="shared" si="182"/>
        <v>0</v>
      </c>
      <c r="Z226" s="188">
        <f t="shared" si="182"/>
        <v>0</v>
      </c>
      <c r="AA226" s="188">
        <f t="shared" si="182"/>
        <v>0</v>
      </c>
      <c r="AB226" s="188">
        <f t="shared" si="182"/>
        <v>0</v>
      </c>
      <c r="AC226" s="188">
        <f t="shared" si="182"/>
        <v>0</v>
      </c>
      <c r="AD226" s="188">
        <f t="shared" si="182"/>
        <v>0</v>
      </c>
      <c r="AE226" s="188">
        <f t="shared" ref="AE226:AV228" si="183">AE192+AE203+AE214</f>
        <v>0</v>
      </c>
      <c r="AF226" s="188">
        <f t="shared" si="183"/>
        <v>0</v>
      </c>
      <c r="AG226" s="188">
        <f t="shared" si="183"/>
        <v>0</v>
      </c>
      <c r="AH226" s="188">
        <f t="shared" si="183"/>
        <v>0</v>
      </c>
      <c r="AI226" s="188">
        <f t="shared" si="183"/>
        <v>0</v>
      </c>
      <c r="AJ226" s="188">
        <f t="shared" si="183"/>
        <v>0</v>
      </c>
      <c r="AK226" s="188">
        <f t="shared" si="183"/>
        <v>0</v>
      </c>
      <c r="AL226" s="188">
        <f t="shared" si="183"/>
        <v>0</v>
      </c>
      <c r="AM226" s="188">
        <f t="shared" si="183"/>
        <v>0</v>
      </c>
      <c r="AN226" s="188">
        <f t="shared" si="183"/>
        <v>0</v>
      </c>
      <c r="AO226" s="188">
        <f t="shared" si="183"/>
        <v>0</v>
      </c>
      <c r="AP226" s="188">
        <f t="shared" si="183"/>
        <v>0</v>
      </c>
      <c r="AQ226" s="188">
        <f t="shared" si="183"/>
        <v>0</v>
      </c>
      <c r="AR226" s="188">
        <f t="shared" si="183"/>
        <v>0</v>
      </c>
      <c r="AS226" s="188">
        <f t="shared" si="183"/>
        <v>0</v>
      </c>
      <c r="AT226" s="188">
        <f t="shared" si="183"/>
        <v>0</v>
      </c>
      <c r="AU226" s="188">
        <f t="shared" si="183"/>
        <v>0</v>
      </c>
      <c r="AV226" s="188">
        <f t="shared" si="183"/>
        <v>0</v>
      </c>
    </row>
    <row r="227" spans="1:48">
      <c r="A227" s="4" t="s">
        <v>16</v>
      </c>
      <c r="B227" s="96" t="str">
        <f t="shared" si="181"/>
        <v>CNT</v>
      </c>
      <c r="C227" s="96" t="str">
        <f t="shared" si="181"/>
        <v>Commercial - Public Water</v>
      </c>
      <c r="E227" s="123"/>
      <c r="F227" s="123"/>
      <c r="I227" s="179"/>
      <c r="J227" s="188">
        <f t="shared" ref="J227:AV228" si="184">J193+J204+J215</f>
        <v>0</v>
      </c>
      <c r="K227" s="188">
        <f t="shared" si="184"/>
        <v>0</v>
      </c>
      <c r="L227" s="188">
        <f t="shared" si="184"/>
        <v>0</v>
      </c>
      <c r="M227" s="188">
        <f t="shared" si="184"/>
        <v>0</v>
      </c>
      <c r="N227" s="188">
        <f t="shared" si="184"/>
        <v>0</v>
      </c>
      <c r="O227" s="188">
        <f t="shared" si="184"/>
        <v>0</v>
      </c>
      <c r="P227" s="188">
        <f t="shared" si="184"/>
        <v>0</v>
      </c>
      <c r="Q227" s="188">
        <f t="shared" si="184"/>
        <v>0</v>
      </c>
      <c r="R227" s="188">
        <f t="shared" si="184"/>
        <v>0</v>
      </c>
      <c r="S227" s="188">
        <f t="shared" si="184"/>
        <v>0</v>
      </c>
      <c r="T227" s="188">
        <f t="shared" si="184"/>
        <v>0</v>
      </c>
      <c r="U227" s="188">
        <f t="shared" si="184"/>
        <v>0</v>
      </c>
      <c r="V227" s="188">
        <f t="shared" si="184"/>
        <v>0</v>
      </c>
      <c r="W227" s="188">
        <f t="shared" si="184"/>
        <v>0</v>
      </c>
      <c r="X227" s="188">
        <f t="shared" si="184"/>
        <v>0</v>
      </c>
      <c r="Y227" s="188">
        <f t="shared" si="184"/>
        <v>0</v>
      </c>
      <c r="Z227" s="188">
        <f t="shared" si="184"/>
        <v>0</v>
      </c>
      <c r="AA227" s="188">
        <f t="shared" si="184"/>
        <v>0</v>
      </c>
      <c r="AB227" s="188">
        <f t="shared" si="184"/>
        <v>0</v>
      </c>
      <c r="AC227" s="188">
        <f t="shared" si="184"/>
        <v>0</v>
      </c>
      <c r="AD227" s="188">
        <f t="shared" si="184"/>
        <v>0</v>
      </c>
      <c r="AE227" s="188">
        <f t="shared" si="184"/>
        <v>0</v>
      </c>
      <c r="AF227" s="188">
        <f t="shared" si="184"/>
        <v>0</v>
      </c>
      <c r="AG227" s="188">
        <f t="shared" si="184"/>
        <v>0</v>
      </c>
      <c r="AH227" s="188">
        <f t="shared" si="184"/>
        <v>0</v>
      </c>
      <c r="AI227" s="188">
        <f t="shared" si="183"/>
        <v>0</v>
      </c>
      <c r="AJ227" s="188">
        <f t="shared" si="183"/>
        <v>0</v>
      </c>
      <c r="AK227" s="188">
        <f t="shared" si="183"/>
        <v>0</v>
      </c>
      <c r="AL227" s="188">
        <f t="shared" si="183"/>
        <v>0</v>
      </c>
      <c r="AM227" s="188">
        <f t="shared" si="183"/>
        <v>0</v>
      </c>
      <c r="AN227" s="188">
        <f t="shared" si="183"/>
        <v>0</v>
      </c>
      <c r="AO227" s="188">
        <f t="shared" si="183"/>
        <v>0</v>
      </c>
      <c r="AP227" s="188">
        <f t="shared" si="183"/>
        <v>0</v>
      </c>
      <c r="AQ227" s="188">
        <f t="shared" si="183"/>
        <v>0</v>
      </c>
      <c r="AR227" s="188">
        <f t="shared" si="183"/>
        <v>0</v>
      </c>
      <c r="AS227" s="188">
        <f t="shared" si="184"/>
        <v>0</v>
      </c>
      <c r="AT227" s="188">
        <f t="shared" si="184"/>
        <v>0</v>
      </c>
      <c r="AU227" s="188">
        <f t="shared" si="184"/>
        <v>0</v>
      </c>
      <c r="AV227" s="188">
        <f t="shared" si="184"/>
        <v>0</v>
      </c>
    </row>
    <row r="228" spans="1:48">
      <c r="A228" s="4" t="s">
        <v>16</v>
      </c>
      <c r="B228" s="96" t="str">
        <f t="shared" si="181"/>
        <v>CNO</v>
      </c>
      <c r="C228" s="96" t="str">
        <f t="shared" si="181"/>
        <v>Commercial - Other</v>
      </c>
      <c r="E228" s="123"/>
      <c r="F228" s="123"/>
      <c r="I228" s="179"/>
      <c r="J228" s="188">
        <f t="shared" si="184"/>
        <v>0</v>
      </c>
      <c r="K228" s="188">
        <f t="shared" si="184"/>
        <v>0</v>
      </c>
      <c r="L228" s="188">
        <f t="shared" si="184"/>
        <v>0</v>
      </c>
      <c r="M228" s="188">
        <f t="shared" si="184"/>
        <v>0</v>
      </c>
      <c r="N228" s="188">
        <f t="shared" si="184"/>
        <v>0</v>
      </c>
      <c r="O228" s="188">
        <f t="shared" si="184"/>
        <v>0</v>
      </c>
      <c r="P228" s="188">
        <f t="shared" si="184"/>
        <v>0.22366371570704255</v>
      </c>
      <c r="Q228" s="188">
        <f t="shared" si="184"/>
        <v>0.46253228824653669</v>
      </c>
      <c r="R228" s="188">
        <f t="shared" si="184"/>
        <v>0.59852622221288887</v>
      </c>
      <c r="S228" s="188">
        <f t="shared" si="184"/>
        <v>0.85485860959832971</v>
      </c>
      <c r="T228" s="188">
        <f t="shared" si="184"/>
        <v>1.0939207588889821</v>
      </c>
      <c r="U228" s="188">
        <f t="shared" si="184"/>
        <v>1.3172165257850814</v>
      </c>
      <c r="V228" s="188">
        <f t="shared" si="184"/>
        <v>1.5231238242152458</v>
      </c>
      <c r="W228" s="188">
        <f t="shared" si="184"/>
        <v>1.7188071341225437</v>
      </c>
      <c r="X228" s="188">
        <f t="shared" si="184"/>
        <v>1.9195071881253309</v>
      </c>
      <c r="Y228" s="188">
        <f t="shared" si="184"/>
        <v>2.1026211637514209</v>
      </c>
      <c r="Z228" s="188">
        <f t="shared" si="184"/>
        <v>2.2753964033496019</v>
      </c>
      <c r="AA228" s="188">
        <f t="shared" si="184"/>
        <v>2.4359362156745239</v>
      </c>
      <c r="AB228" s="188">
        <f t="shared" si="184"/>
        <v>2.5836573601391053</v>
      </c>
      <c r="AC228" s="188">
        <f t="shared" si="184"/>
        <v>2.8260023706257384</v>
      </c>
      <c r="AD228" s="188">
        <f t="shared" si="184"/>
        <v>3.0640988566224556</v>
      </c>
      <c r="AE228" s="188">
        <f t="shared" si="184"/>
        <v>3.3129044760453503</v>
      </c>
      <c r="AF228" s="188">
        <f t="shared" si="184"/>
        <v>3.5699950309267376</v>
      </c>
      <c r="AG228" s="188">
        <f t="shared" si="184"/>
        <v>3.8344796905540499</v>
      </c>
      <c r="AH228" s="188">
        <f t="shared" si="184"/>
        <v>4.1038275533106754</v>
      </c>
      <c r="AI228" s="188">
        <f t="shared" si="183"/>
        <v>4.3771789256268638</v>
      </c>
      <c r="AJ228" s="188">
        <f t="shared" si="183"/>
        <v>4.6506887532737391</v>
      </c>
      <c r="AK228" s="188">
        <f t="shared" si="183"/>
        <v>4.9284039435776448</v>
      </c>
      <c r="AL228" s="188">
        <f t="shared" si="183"/>
        <v>5.2138814039356625</v>
      </c>
      <c r="AM228" s="188">
        <f t="shared" si="183"/>
        <v>5.5146739041768615</v>
      </c>
      <c r="AN228" s="188">
        <f t="shared" si="183"/>
        <v>5.8115768637765877</v>
      </c>
      <c r="AO228" s="188">
        <f t="shared" si="183"/>
        <v>6.1047928386935792</v>
      </c>
      <c r="AP228" s="188">
        <f t="shared" si="183"/>
        <v>6.3945076214229886</v>
      </c>
      <c r="AQ228" s="188">
        <f t="shared" si="183"/>
        <v>6.6808921104283172</v>
      </c>
      <c r="AR228" s="188">
        <f t="shared" si="183"/>
        <v>7.0103719444375328</v>
      </c>
      <c r="AS228" s="188">
        <f t="shared" si="184"/>
        <v>7.3351486220935165</v>
      </c>
      <c r="AT228" s="188">
        <f t="shared" si="184"/>
        <v>7.6554809403150017</v>
      </c>
      <c r="AU228" s="188">
        <f t="shared" si="184"/>
        <v>7.9716051065805695</v>
      </c>
      <c r="AV228" s="188">
        <f t="shared" si="184"/>
        <v>8.2988069511085349</v>
      </c>
    </row>
    <row r="229" spans="1:48" ht="15.75" thickBot="1">
      <c r="A229" s="4" t="s">
        <v>16</v>
      </c>
      <c r="B229" s="94"/>
      <c r="C229" s="94"/>
      <c r="D229" s="94"/>
      <c r="E229" s="94"/>
      <c r="F229" s="94"/>
      <c r="G229" s="94"/>
      <c r="H229" s="94"/>
      <c r="I229" s="180"/>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row>
    <row r="230" spans="1:48">
      <c r="A230" s="4" t="s">
        <v>16</v>
      </c>
      <c r="E230" s="123"/>
      <c r="F230" s="123"/>
      <c r="I230" s="179"/>
      <c r="J230" s="186"/>
      <c r="K230" s="186"/>
      <c r="L230" s="186"/>
      <c r="M230" s="186"/>
      <c r="N230" s="186"/>
      <c r="O230" s="186"/>
      <c r="P230" s="186"/>
      <c r="Q230" s="186"/>
      <c r="R230" s="186"/>
      <c r="S230" s="186"/>
      <c r="T230" s="186"/>
      <c r="U230" s="186"/>
      <c r="V230" s="186"/>
      <c r="W230" s="186"/>
      <c r="X230" s="186"/>
      <c r="Y230" s="186"/>
      <c r="Z230" s="186"/>
      <c r="AA230" s="186"/>
      <c r="AB230" s="186"/>
      <c r="AC230" s="186"/>
      <c r="AD230" s="186"/>
      <c r="AE230" s="186"/>
      <c r="AF230" s="186"/>
      <c r="AG230" s="186"/>
      <c r="AH230" s="186"/>
      <c r="AI230" s="186"/>
      <c r="AJ230" s="186"/>
      <c r="AK230" s="186"/>
      <c r="AL230" s="186"/>
      <c r="AM230" s="186"/>
      <c r="AN230" s="186"/>
      <c r="AO230" s="186"/>
      <c r="AP230" s="186"/>
      <c r="AQ230" s="186"/>
      <c r="AR230" s="186"/>
      <c r="AS230" s="186"/>
      <c r="AT230" s="186"/>
      <c r="AU230" s="186"/>
      <c r="AV230" s="186"/>
    </row>
    <row r="231" spans="1:48" ht="15.75" thickBot="1">
      <c r="A231" s="4" t="s">
        <v>16</v>
      </c>
      <c r="B231" s="94" t="s">
        <v>512</v>
      </c>
      <c r="C231" s="94"/>
      <c r="E231" s="123"/>
      <c r="F231" s="123"/>
      <c r="I231" s="179"/>
      <c r="J231" s="186"/>
      <c r="K231" s="186"/>
      <c r="L231" s="186"/>
      <c r="M231" s="186"/>
      <c r="N231" s="186"/>
      <c r="O231" s="186"/>
      <c r="P231" s="186"/>
      <c r="Q231" s="186"/>
      <c r="R231" s="186"/>
      <c r="S231" s="186"/>
      <c r="T231" s="186"/>
      <c r="U231" s="186"/>
      <c r="V231" s="186"/>
      <c r="W231" s="186"/>
      <c r="X231" s="186"/>
      <c r="Y231" s="186"/>
      <c r="Z231" s="186"/>
      <c r="AA231" s="186"/>
      <c r="AB231" s="186"/>
      <c r="AC231" s="186"/>
      <c r="AD231" s="186"/>
      <c r="AE231" s="186"/>
      <c r="AF231" s="186"/>
      <c r="AG231" s="186"/>
      <c r="AH231" s="186"/>
      <c r="AI231" s="186"/>
      <c r="AJ231" s="186"/>
      <c r="AK231" s="186"/>
      <c r="AL231" s="186"/>
      <c r="AM231" s="186"/>
      <c r="AN231" s="186"/>
      <c r="AO231" s="186"/>
      <c r="AP231" s="186"/>
      <c r="AQ231" s="186"/>
      <c r="AR231" s="186"/>
      <c r="AS231" s="186"/>
      <c r="AT231" s="186"/>
      <c r="AU231" s="186"/>
      <c r="AV231" s="186"/>
    </row>
    <row r="232" spans="1:48">
      <c r="A232" s="4" t="s">
        <v>16</v>
      </c>
      <c r="E232" s="123"/>
      <c r="F232" s="123"/>
      <c r="I232" s="179"/>
      <c r="J232" s="186"/>
      <c r="K232" s="186"/>
      <c r="L232" s="186"/>
      <c r="M232" s="186"/>
      <c r="N232" s="186"/>
      <c r="O232" s="186"/>
      <c r="P232" s="186"/>
      <c r="Q232" s="186"/>
      <c r="R232" s="186"/>
      <c r="S232" s="186"/>
      <c r="T232" s="186"/>
      <c r="U232" s="186"/>
      <c r="V232" s="186"/>
      <c r="W232" s="186"/>
      <c r="X232" s="186"/>
      <c r="Y232" s="186"/>
      <c r="Z232" s="186"/>
      <c r="AA232" s="186"/>
      <c r="AB232" s="186"/>
      <c r="AC232" s="186"/>
      <c r="AD232" s="186"/>
      <c r="AE232" s="186"/>
      <c r="AF232" s="186"/>
      <c r="AG232" s="186"/>
      <c r="AH232" s="186"/>
      <c r="AI232" s="186"/>
      <c r="AJ232" s="186"/>
      <c r="AK232" s="186"/>
      <c r="AL232" s="186"/>
      <c r="AM232" s="186"/>
      <c r="AN232" s="186"/>
      <c r="AO232" s="186"/>
      <c r="AP232" s="186"/>
      <c r="AQ232" s="186"/>
      <c r="AR232" s="186"/>
      <c r="AS232" s="186"/>
      <c r="AT232" s="186"/>
      <c r="AU232" s="186"/>
      <c r="AV232" s="186"/>
    </row>
    <row r="233" spans="1:48">
      <c r="A233" s="4" t="s">
        <v>16</v>
      </c>
      <c r="B233" s="96" t="str">
        <f t="shared" ref="B233:C241" si="185">B162</f>
        <v>CEC</v>
      </c>
      <c r="C233" s="96" t="str">
        <f t="shared" si="185"/>
        <v>Commercial - Cooling</v>
      </c>
      <c r="E233" s="123"/>
      <c r="F233" s="123"/>
      <c r="I233" s="179"/>
      <c r="J233" s="186">
        <f t="shared" ref="J233:J241" si="186">J162+J174+J151</f>
        <v>139.66439435388435</v>
      </c>
      <c r="K233" s="186">
        <f t="shared" ref="K233:AV240" si="187">K162+K174+K151</f>
        <v>135.91206875329351</v>
      </c>
      <c r="L233" s="186">
        <f t="shared" si="187"/>
        <v>132.46001856592557</v>
      </c>
      <c r="M233" s="186">
        <f t="shared" si="187"/>
        <v>128.70532315183087</v>
      </c>
      <c r="N233" s="186">
        <f t="shared" si="187"/>
        <v>124.79103145901988</v>
      </c>
      <c r="O233" s="186">
        <f t="shared" si="187"/>
        <v>120.28334032399778</v>
      </c>
      <c r="P233" s="186">
        <f t="shared" si="187"/>
        <v>119.47615719794113</v>
      </c>
      <c r="Q233" s="186">
        <f t="shared" si="187"/>
        <v>118.6958707269869</v>
      </c>
      <c r="R233" s="186">
        <f t="shared" si="187"/>
        <v>117.73360400439491</v>
      </c>
      <c r="S233" s="186">
        <f t="shared" si="187"/>
        <v>114.09741000805259</v>
      </c>
      <c r="T233" s="186">
        <f t="shared" si="187"/>
        <v>110.49080746737891</v>
      </c>
      <c r="U233" s="186">
        <f t="shared" si="187"/>
        <v>106.9164566302499</v>
      </c>
      <c r="V233" s="186">
        <f t="shared" si="187"/>
        <v>103.37148810499093</v>
      </c>
      <c r="W233" s="186">
        <f t="shared" si="187"/>
        <v>99.868575509521605</v>
      </c>
      <c r="X233" s="186">
        <f t="shared" si="187"/>
        <v>96.434678961471533</v>
      </c>
      <c r="Y233" s="186">
        <f t="shared" si="187"/>
        <v>93.029815162933033</v>
      </c>
      <c r="Z233" s="186">
        <f t="shared" si="187"/>
        <v>89.666804311406963</v>
      </c>
      <c r="AA233" s="186">
        <f t="shared" si="187"/>
        <v>86.342291251969897</v>
      </c>
      <c r="AB233" s="186">
        <f t="shared" si="187"/>
        <v>83.055244260279665</v>
      </c>
      <c r="AC233" s="186">
        <f t="shared" si="187"/>
        <v>82.586146058950902</v>
      </c>
      <c r="AD233" s="186">
        <f t="shared" si="187"/>
        <v>82.109456510154317</v>
      </c>
      <c r="AE233" s="186">
        <f t="shared" si="187"/>
        <v>81.651902252471203</v>
      </c>
      <c r="AF233" s="186">
        <f t="shared" si="187"/>
        <v>81.209151681094511</v>
      </c>
      <c r="AG233" s="186">
        <f t="shared" si="187"/>
        <v>80.779613042112928</v>
      </c>
      <c r="AH233" s="186">
        <f t="shared" si="187"/>
        <v>80.358764070532061</v>
      </c>
      <c r="AI233" s="186">
        <f t="shared" si="187"/>
        <v>79.94506864890235</v>
      </c>
      <c r="AJ233" s="186">
        <f t="shared" si="187"/>
        <v>79.531656358387025</v>
      </c>
      <c r="AK233" s="186">
        <f t="shared" si="187"/>
        <v>79.125758292924075</v>
      </c>
      <c r="AL233" s="186">
        <f t="shared" si="187"/>
        <v>78.733730004900238</v>
      </c>
      <c r="AM233" s="186">
        <f t="shared" si="187"/>
        <v>78.380035544454529</v>
      </c>
      <c r="AN233" s="186">
        <f t="shared" si="187"/>
        <v>78.019249341113508</v>
      </c>
      <c r="AO233" s="186">
        <f t="shared" si="187"/>
        <v>77.651740712211449</v>
      </c>
      <c r="AP233" s="186">
        <f t="shared" si="187"/>
        <v>77.277848410503225</v>
      </c>
      <c r="AQ233" s="186">
        <f t="shared" si="187"/>
        <v>76.89788403267238</v>
      </c>
      <c r="AR233" s="186">
        <f t="shared" si="187"/>
        <v>76.596494770754688</v>
      </c>
      <c r="AS233" s="186">
        <f t="shared" si="187"/>
        <v>76.286530312244849</v>
      </c>
      <c r="AT233" s="186">
        <f t="shared" si="187"/>
        <v>75.968462517801782</v>
      </c>
      <c r="AU233" s="186">
        <f t="shared" si="187"/>
        <v>75.642722061086587</v>
      </c>
      <c r="AV233" s="186">
        <f t="shared" si="187"/>
        <v>75.337179374071042</v>
      </c>
    </row>
    <row r="234" spans="1:48">
      <c r="A234" s="4" t="s">
        <v>16</v>
      </c>
      <c r="B234" s="96" t="str">
        <f t="shared" si="185"/>
        <v>CEH</v>
      </c>
      <c r="C234" s="96" t="str">
        <f t="shared" si="185"/>
        <v>Commercial - Space Heating</v>
      </c>
      <c r="E234" s="123"/>
      <c r="F234" s="123"/>
      <c r="I234" s="179"/>
      <c r="J234" s="186">
        <f t="shared" si="186"/>
        <v>7.8517549075018991</v>
      </c>
      <c r="K234" s="186">
        <f t="shared" ref="K234:Y234" si="188">K163+K175+K152</f>
        <v>8.5481458503642624</v>
      </c>
      <c r="L234" s="186">
        <f t="shared" si="188"/>
        <v>9.282962289600075</v>
      </c>
      <c r="M234" s="186">
        <f t="shared" si="188"/>
        <v>10.018335457385795</v>
      </c>
      <c r="N234" s="186">
        <f t="shared" si="188"/>
        <v>10.761970407471427</v>
      </c>
      <c r="O234" s="186">
        <f t="shared" si="188"/>
        <v>11.470981711368385</v>
      </c>
      <c r="P234" s="186">
        <f t="shared" si="188"/>
        <v>11.394003612391582</v>
      </c>
      <c r="Q234" s="186">
        <f t="shared" si="188"/>
        <v>11.319590548921324</v>
      </c>
      <c r="R234" s="186">
        <f t="shared" si="188"/>
        <v>11.227822695230378</v>
      </c>
      <c r="S234" s="186">
        <f t="shared" si="188"/>
        <v>10.88105218886867</v>
      </c>
      <c r="T234" s="186">
        <f t="shared" si="188"/>
        <v>10.537103711275648</v>
      </c>
      <c r="U234" s="186">
        <f t="shared" si="188"/>
        <v>10.19623096054991</v>
      </c>
      <c r="V234" s="186">
        <f t="shared" si="188"/>
        <v>9.8581602933146293</v>
      </c>
      <c r="W234" s="186">
        <f t="shared" si="188"/>
        <v>9.5241003461023581</v>
      </c>
      <c r="X234" s="186">
        <f t="shared" si="188"/>
        <v>9.1966222066084669</v>
      </c>
      <c r="Y234" s="186">
        <f t="shared" si="188"/>
        <v>8.8719128141229397</v>
      </c>
      <c r="Z234" s="186">
        <f t="shared" si="187"/>
        <v>8.551194783936241</v>
      </c>
      <c r="AA234" s="186">
        <f t="shared" si="187"/>
        <v>8.234148147209277</v>
      </c>
      <c r="AB234" s="186">
        <f t="shared" si="187"/>
        <v>7.9206745121695228</v>
      </c>
      <c r="AC234" s="186">
        <f t="shared" si="187"/>
        <v>7.8759383344595948</v>
      </c>
      <c r="AD234" s="186">
        <f t="shared" si="187"/>
        <v>7.8304781977397724</v>
      </c>
      <c r="AE234" s="186">
        <f t="shared" si="187"/>
        <v>7.7868429236635439</v>
      </c>
      <c r="AF234" s="186">
        <f t="shared" si="187"/>
        <v>7.7446194229420016</v>
      </c>
      <c r="AG234" s="186">
        <f t="shared" si="187"/>
        <v>7.7036558958333288</v>
      </c>
      <c r="AH234" s="186">
        <f t="shared" si="187"/>
        <v>7.6635210704847072</v>
      </c>
      <c r="AI234" s="186">
        <f t="shared" si="187"/>
        <v>7.6240684529999534</v>
      </c>
      <c r="AJ234" s="186">
        <f t="shared" si="187"/>
        <v>7.5846428366928045</v>
      </c>
      <c r="AK234" s="186">
        <f t="shared" si="187"/>
        <v>7.5459338245131979</v>
      </c>
      <c r="AL234" s="186">
        <f t="shared" si="187"/>
        <v>7.508547522219402</v>
      </c>
      <c r="AM234" s="186">
        <f t="shared" si="187"/>
        <v>7.4748169766903505</v>
      </c>
      <c r="AN234" s="186">
        <f t="shared" si="187"/>
        <v>7.440410117610023</v>
      </c>
      <c r="AO234" s="186">
        <f t="shared" si="187"/>
        <v>7.4053621654202173</v>
      </c>
      <c r="AP234" s="186">
        <f t="shared" si="187"/>
        <v>7.3697054257307162</v>
      </c>
      <c r="AQ234" s="186">
        <f t="shared" si="187"/>
        <v>7.333469614376221</v>
      </c>
      <c r="AR234" s="186">
        <f t="shared" si="187"/>
        <v>7.3047272240988281</v>
      </c>
      <c r="AS234" s="186">
        <f t="shared" si="187"/>
        <v>7.2751670487232261</v>
      </c>
      <c r="AT234" s="186">
        <f t="shared" si="187"/>
        <v>7.2448340878725901</v>
      </c>
      <c r="AU234" s="186">
        <f t="shared" si="187"/>
        <v>7.2137694133169283</v>
      </c>
      <c r="AV234" s="186">
        <f t="shared" si="187"/>
        <v>7.1846309260970287</v>
      </c>
    </row>
    <row r="235" spans="1:48">
      <c r="A235" s="4" t="s">
        <v>16</v>
      </c>
      <c r="B235" s="96" t="str">
        <f t="shared" si="185"/>
        <v>CEK</v>
      </c>
      <c r="C235" s="96" t="str">
        <f t="shared" si="185"/>
        <v>Commercial - Cooking</v>
      </c>
      <c r="E235" s="123"/>
      <c r="F235" s="123"/>
      <c r="I235" s="179"/>
      <c r="J235" s="186">
        <f t="shared" si="186"/>
        <v>9.8944997565297612</v>
      </c>
      <c r="K235" s="186">
        <f t="shared" si="187"/>
        <v>9.639891973427412</v>
      </c>
      <c r="L235" s="186">
        <f t="shared" si="187"/>
        <v>9.4068236837096606</v>
      </c>
      <c r="M235" s="186">
        <f t="shared" si="187"/>
        <v>9.1525319237345215</v>
      </c>
      <c r="N235" s="186">
        <f t="shared" si="187"/>
        <v>8.8871468025102622</v>
      </c>
      <c r="O235" s="186">
        <f t="shared" si="187"/>
        <v>8.579706769854079</v>
      </c>
      <c r="P235" s="186">
        <f t="shared" si="187"/>
        <v>8.5221310946817272</v>
      </c>
      <c r="Q235" s="186">
        <f t="shared" si="187"/>
        <v>8.4664739346856805</v>
      </c>
      <c r="R235" s="186">
        <f t="shared" si="187"/>
        <v>8.3978362805268461</v>
      </c>
      <c r="S235" s="186">
        <f t="shared" si="187"/>
        <v>8.1384697035521238</v>
      </c>
      <c r="T235" s="186">
        <f t="shared" si="187"/>
        <v>7.8812138595504493</v>
      </c>
      <c r="U235" s="186">
        <f t="shared" si="187"/>
        <v>7.6262585017050117</v>
      </c>
      <c r="V235" s="186">
        <f t="shared" si="187"/>
        <v>7.3733989587861162</v>
      </c>
      <c r="W235" s="186">
        <f t="shared" si="187"/>
        <v>7.1235392290130566</v>
      </c>
      <c r="X235" s="186">
        <f t="shared" si="187"/>
        <v>6.8786023542893844</v>
      </c>
      <c r="Y235" s="186">
        <f t="shared" si="187"/>
        <v>6.6357363605111628</v>
      </c>
      <c r="Z235" s="186">
        <f t="shared" si="187"/>
        <v>6.3958557012926036</v>
      </c>
      <c r="AA235" s="186">
        <f t="shared" si="187"/>
        <v>6.1587210563310526</v>
      </c>
      <c r="AB235" s="186">
        <f t="shared" si="187"/>
        <v>5.9242588336203408</v>
      </c>
      <c r="AC235" s="186">
        <f t="shared" si="187"/>
        <v>5.8907984641059459</v>
      </c>
      <c r="AD235" s="186">
        <f t="shared" si="187"/>
        <v>5.8567966103337419</v>
      </c>
      <c r="AE235" s="186">
        <f t="shared" si="187"/>
        <v>5.8241596603484407</v>
      </c>
      <c r="AF235" s="186">
        <f t="shared" si="187"/>
        <v>5.7925786445206029</v>
      </c>
      <c r="AG235" s="186">
        <f t="shared" si="187"/>
        <v>5.7619400244186227</v>
      </c>
      <c r="AH235" s="186">
        <f t="shared" si="187"/>
        <v>5.7319212307865826</v>
      </c>
      <c r="AI235" s="186">
        <f t="shared" si="187"/>
        <v>5.7024126936936375</v>
      </c>
      <c r="AJ235" s="186">
        <f t="shared" si="187"/>
        <v>5.6729243520985246</v>
      </c>
      <c r="AK235" s="186">
        <f t="shared" si="187"/>
        <v>5.6439719936859403</v>
      </c>
      <c r="AL235" s="186">
        <f t="shared" si="187"/>
        <v>5.6160089545179854</v>
      </c>
      <c r="AM235" s="186">
        <f t="shared" si="187"/>
        <v>5.5907802341601052</v>
      </c>
      <c r="AN235" s="186">
        <f t="shared" si="187"/>
        <v>5.5650456659070375</v>
      </c>
      <c r="AO235" s="186">
        <f t="shared" si="187"/>
        <v>5.5388315928452361</v>
      </c>
      <c r="AP235" s="186">
        <f t="shared" si="187"/>
        <v>5.5121621779161067</v>
      </c>
      <c r="AQ235" s="186">
        <f t="shared" si="187"/>
        <v>5.4850596470419442</v>
      </c>
      <c r="AR235" s="186">
        <f t="shared" si="187"/>
        <v>5.4635618113161364</v>
      </c>
      <c r="AS235" s="186">
        <f t="shared" si="187"/>
        <v>5.441452314224291</v>
      </c>
      <c r="AT235" s="186">
        <f t="shared" si="187"/>
        <v>5.4187648131796315</v>
      </c>
      <c r="AU235" s="186">
        <f t="shared" si="187"/>
        <v>5.3955300277624101</v>
      </c>
      <c r="AV235" s="186">
        <f t="shared" si="187"/>
        <v>5.37373593181192</v>
      </c>
    </row>
    <row r="236" spans="1:48">
      <c r="A236" s="4" t="s">
        <v>16</v>
      </c>
      <c r="B236" s="96" t="str">
        <f t="shared" si="185"/>
        <v>CEL</v>
      </c>
      <c r="C236" s="96" t="str">
        <f t="shared" si="185"/>
        <v>Commercial - Lighting</v>
      </c>
      <c r="E236" s="123"/>
      <c r="F236" s="123"/>
      <c r="I236" s="179"/>
      <c r="J236" s="186">
        <f t="shared" si="186"/>
        <v>121.54027190568891</v>
      </c>
      <c r="K236" s="186">
        <f t="shared" si="187"/>
        <v>118.27488221288776</v>
      </c>
      <c r="L236" s="186">
        <f t="shared" si="187"/>
        <v>115.2708014638481</v>
      </c>
      <c r="M236" s="186">
        <f t="shared" si="187"/>
        <v>112.00334948610346</v>
      </c>
      <c r="N236" s="186">
        <f t="shared" si="187"/>
        <v>108.59701189474154</v>
      </c>
      <c r="O236" s="186">
        <f t="shared" si="187"/>
        <v>104.67427977141128</v>
      </c>
      <c r="P236" s="186">
        <f t="shared" si="187"/>
        <v>103.97184407137146</v>
      </c>
      <c r="Q236" s="186">
        <f t="shared" si="187"/>
        <v>103.29281467176793</v>
      </c>
      <c r="R236" s="186">
        <f t="shared" si="187"/>
        <v>102.45542043359663</v>
      </c>
      <c r="S236" s="186">
        <f t="shared" si="187"/>
        <v>99.291092051536197</v>
      </c>
      <c r="T236" s="186">
        <f t="shared" si="187"/>
        <v>96.152515068640085</v>
      </c>
      <c r="U236" s="186">
        <f t="shared" si="187"/>
        <v>93.042004514817563</v>
      </c>
      <c r="V236" s="186">
        <f t="shared" si="187"/>
        <v>89.957063356762845</v>
      </c>
      <c r="W236" s="186">
        <f t="shared" si="187"/>
        <v>86.9087205684324</v>
      </c>
      <c r="X236" s="186">
        <f t="shared" si="187"/>
        <v>83.920437677314808</v>
      </c>
      <c r="Y236" s="186">
        <f t="shared" si="187"/>
        <v>80.957419981998427</v>
      </c>
      <c r="Z236" s="186">
        <f t="shared" si="187"/>
        <v>78.03082401452096</v>
      </c>
      <c r="AA236" s="186">
        <f t="shared" si="187"/>
        <v>75.137730015386325</v>
      </c>
      <c r="AB236" s="186">
        <f t="shared" si="187"/>
        <v>72.277240146189399</v>
      </c>
      <c r="AC236" s="186">
        <f t="shared" si="187"/>
        <v>71.869016395220314</v>
      </c>
      <c r="AD236" s="186">
        <f t="shared" si="187"/>
        <v>71.454186419095308</v>
      </c>
      <c r="AE236" s="186">
        <f t="shared" si="187"/>
        <v>71.056008564620086</v>
      </c>
      <c r="AF236" s="186">
        <f t="shared" si="187"/>
        <v>70.67071333543538</v>
      </c>
      <c r="AG236" s="186">
        <f t="shared" si="187"/>
        <v>70.296915538098858</v>
      </c>
      <c r="AH236" s="186">
        <f t="shared" si="187"/>
        <v>69.930679757864397</v>
      </c>
      <c r="AI236" s="186">
        <f t="shared" si="187"/>
        <v>69.570669217857969</v>
      </c>
      <c r="AJ236" s="186">
        <f t="shared" si="187"/>
        <v>69.210905067296636</v>
      </c>
      <c r="AK236" s="186">
        <f t="shared" si="187"/>
        <v>68.857680027582091</v>
      </c>
      <c r="AL236" s="186">
        <f t="shared" si="187"/>
        <v>68.516524896801869</v>
      </c>
      <c r="AM236" s="186">
        <f t="shared" si="187"/>
        <v>68.208729047380274</v>
      </c>
      <c r="AN236" s="186">
        <f t="shared" si="187"/>
        <v>67.894761744140624</v>
      </c>
      <c r="AO236" s="186">
        <f t="shared" si="187"/>
        <v>67.574944378439909</v>
      </c>
      <c r="AP236" s="186">
        <f t="shared" si="187"/>
        <v>67.249571743393687</v>
      </c>
      <c r="AQ236" s="186">
        <f t="shared" si="187"/>
        <v>66.918915000064928</v>
      </c>
      <c r="AR236" s="186">
        <f t="shared" si="187"/>
        <v>66.656636750748817</v>
      </c>
      <c r="AS236" s="186">
        <f t="shared" si="187"/>
        <v>66.386896100365675</v>
      </c>
      <c r="AT236" s="186">
        <f t="shared" si="187"/>
        <v>66.11010367664241</v>
      </c>
      <c r="AU236" s="186">
        <f t="shared" si="187"/>
        <v>65.8266342651077</v>
      </c>
      <c r="AV236" s="186">
        <f t="shared" si="187"/>
        <v>65.560741576921401</v>
      </c>
    </row>
    <row r="237" spans="1:48">
      <c r="A237" s="4" t="s">
        <v>16</v>
      </c>
      <c r="B237" s="96" t="str">
        <f t="shared" si="185"/>
        <v>CER</v>
      </c>
      <c r="C237" s="96" t="str">
        <f t="shared" si="185"/>
        <v>Commercial - Refrigeration</v>
      </c>
      <c r="E237" s="123"/>
      <c r="F237" s="123"/>
      <c r="I237" s="179"/>
      <c r="J237" s="186">
        <f t="shared" si="186"/>
        <v>29.566390373747055</v>
      </c>
      <c r="K237" s="186">
        <f t="shared" si="187"/>
        <v>28.772038140812398</v>
      </c>
      <c r="L237" s="186">
        <f t="shared" si="187"/>
        <v>28.041253004760659</v>
      </c>
      <c r="M237" s="186">
        <f t="shared" si="187"/>
        <v>27.246399091841703</v>
      </c>
      <c r="N237" s="186">
        <f t="shared" si="187"/>
        <v>26.417759288821308</v>
      </c>
      <c r="O237" s="186">
        <f t="shared" si="187"/>
        <v>25.463499211305457</v>
      </c>
      <c r="P237" s="186">
        <f t="shared" si="187"/>
        <v>25.292621791054586</v>
      </c>
      <c r="Q237" s="186">
        <f t="shared" si="187"/>
        <v>25.12743828447573</v>
      </c>
      <c r="R237" s="186">
        <f t="shared" si="187"/>
        <v>24.923730290785286</v>
      </c>
      <c r="S237" s="186">
        <f t="shared" si="187"/>
        <v>24.153962651238416</v>
      </c>
      <c r="T237" s="186">
        <f t="shared" si="187"/>
        <v>23.390459403801472</v>
      </c>
      <c r="U237" s="186">
        <f t="shared" si="187"/>
        <v>22.633783712246828</v>
      </c>
      <c r="V237" s="186">
        <f t="shared" si="187"/>
        <v>21.88332813790138</v>
      </c>
      <c r="W237" s="186">
        <f t="shared" si="187"/>
        <v>21.141775634689022</v>
      </c>
      <c r="X237" s="186">
        <f t="shared" si="187"/>
        <v>20.41483355104344</v>
      </c>
      <c r="Y237" s="186">
        <f t="shared" si="187"/>
        <v>19.694037583662166</v>
      </c>
      <c r="Z237" s="186">
        <f t="shared" si="187"/>
        <v>18.982101716776693</v>
      </c>
      <c r="AA237" s="186">
        <f t="shared" si="187"/>
        <v>18.278315677588509</v>
      </c>
      <c r="AB237" s="186">
        <f t="shared" si="187"/>
        <v>17.582461054205304</v>
      </c>
      <c r="AC237" s="186">
        <f t="shared" si="187"/>
        <v>17.483154852304153</v>
      </c>
      <c r="AD237" s="186">
        <f t="shared" si="187"/>
        <v>17.382241592686292</v>
      </c>
      <c r="AE237" s="186">
        <f t="shared" si="187"/>
        <v>17.28537919721024</v>
      </c>
      <c r="AF237" s="186">
        <f t="shared" si="187"/>
        <v>17.191650682565673</v>
      </c>
      <c r="AG237" s="186">
        <f t="shared" si="187"/>
        <v>17.100719080853651</v>
      </c>
      <c r="AH237" s="186">
        <f t="shared" si="187"/>
        <v>17.011627046769277</v>
      </c>
      <c r="AI237" s="186">
        <f t="shared" si="187"/>
        <v>16.924049390428728</v>
      </c>
      <c r="AJ237" s="186">
        <f t="shared" si="187"/>
        <v>16.836531671805968</v>
      </c>
      <c r="AK237" s="186">
        <f t="shared" si="187"/>
        <v>16.750604684394858</v>
      </c>
      <c r="AL237" s="186">
        <f t="shared" si="187"/>
        <v>16.667613873065413</v>
      </c>
      <c r="AM237" s="186">
        <f t="shared" si="187"/>
        <v>16.592738178805988</v>
      </c>
      <c r="AN237" s="186">
        <f t="shared" si="187"/>
        <v>16.516361191107791</v>
      </c>
      <c r="AO237" s="186">
        <f t="shared" si="187"/>
        <v>16.438561092964619</v>
      </c>
      <c r="AP237" s="186">
        <f t="shared" si="187"/>
        <v>16.35940959697178</v>
      </c>
      <c r="AQ237" s="186">
        <f t="shared" si="187"/>
        <v>16.278972666893527</v>
      </c>
      <c r="AR237" s="186">
        <f t="shared" si="187"/>
        <v>16.215169772723268</v>
      </c>
      <c r="AS237" s="186">
        <f t="shared" si="187"/>
        <v>16.149551543934994</v>
      </c>
      <c r="AT237" s="186">
        <f t="shared" si="187"/>
        <v>16.082217871531761</v>
      </c>
      <c r="AU237" s="186">
        <f t="shared" si="187"/>
        <v>16.013259927394895</v>
      </c>
      <c r="AV237" s="186">
        <f t="shared" si="187"/>
        <v>15.948577769841874</v>
      </c>
    </row>
    <row r="238" spans="1:48">
      <c r="A238" s="4" t="s">
        <v>16</v>
      </c>
      <c r="B238" s="96" t="str">
        <f t="shared" si="185"/>
        <v>CEW</v>
      </c>
      <c r="C238" s="96" t="str">
        <f t="shared" si="185"/>
        <v>Commercial - Water Heating</v>
      </c>
      <c r="E238" s="123"/>
      <c r="F238" s="123"/>
      <c r="I238" s="179"/>
      <c r="J238" s="186">
        <f t="shared" si="186"/>
        <v>9.6831090230750316</v>
      </c>
      <c r="K238" s="186">
        <f t="shared" si="187"/>
        <v>10.373780123530006</v>
      </c>
      <c r="L238" s="186">
        <f t="shared" si="187"/>
        <v>11.107846566457823</v>
      </c>
      <c r="M238" s="186">
        <f t="shared" si="187"/>
        <v>11.839343352056451</v>
      </c>
      <c r="N238" s="186">
        <f t="shared" si="187"/>
        <v>12.577835119303142</v>
      </c>
      <c r="O238" s="186">
        <f t="shared" si="187"/>
        <v>13.273861719969343</v>
      </c>
      <c r="P238" s="186">
        <f t="shared" si="187"/>
        <v>13.184785068380622</v>
      </c>
      <c r="Q238" s="186">
        <f t="shared" si="187"/>
        <v>13.098676595756643</v>
      </c>
      <c r="R238" s="186">
        <f t="shared" si="187"/>
        <v>12.992485701996889</v>
      </c>
      <c r="S238" s="186">
        <f t="shared" si="187"/>
        <v>12.591213704025932</v>
      </c>
      <c r="T238" s="186">
        <f t="shared" si="187"/>
        <v>12.193207269595039</v>
      </c>
      <c r="U238" s="186">
        <f t="shared" si="187"/>
        <v>11.798759970219187</v>
      </c>
      <c r="V238" s="186">
        <f t="shared" si="187"/>
        <v>11.407555154330453</v>
      </c>
      <c r="W238" s="186">
        <f t="shared" si="187"/>
        <v>11.020991418370405</v>
      </c>
      <c r="X238" s="186">
        <f t="shared" si="187"/>
        <v>10.642043944707648</v>
      </c>
      <c r="Y238" s="186">
        <f t="shared" si="187"/>
        <v>10.266300378596251</v>
      </c>
      <c r="Z238" s="186">
        <f t="shared" si="187"/>
        <v>9.8951754922597903</v>
      </c>
      <c r="AA238" s="186">
        <f t="shared" si="187"/>
        <v>9.5282990277524622</v>
      </c>
      <c r="AB238" s="186">
        <f t="shared" si="187"/>
        <v>9.165557129188544</v>
      </c>
      <c r="AC238" s="186">
        <f t="shared" si="187"/>
        <v>9.1137898217563436</v>
      </c>
      <c r="AD238" s="186">
        <f t="shared" si="187"/>
        <v>9.0611847715720337</v>
      </c>
      <c r="AE238" s="186">
        <f t="shared" si="187"/>
        <v>9.0106913954360763</v>
      </c>
      <c r="AF238" s="186">
        <f t="shared" si="187"/>
        <v>8.9618316793269202</v>
      </c>
      <c r="AG238" s="186">
        <f t="shared" si="187"/>
        <v>8.9144299653250698</v>
      </c>
      <c r="AH238" s="186">
        <f t="shared" si="187"/>
        <v>8.8679871991139851</v>
      </c>
      <c r="AI238" s="186">
        <f t="shared" si="187"/>
        <v>8.8223338625329966</v>
      </c>
      <c r="AJ238" s="186">
        <f t="shared" si="187"/>
        <v>8.7767117708713016</v>
      </c>
      <c r="AK238" s="186">
        <f t="shared" si="187"/>
        <v>8.7319189111216016</v>
      </c>
      <c r="AL238" s="186">
        <f t="shared" si="187"/>
        <v>8.6886566499345754</v>
      </c>
      <c r="AM238" s="186">
        <f t="shared" si="187"/>
        <v>8.6496247162816751</v>
      </c>
      <c r="AN238" s="186">
        <f t="shared" si="187"/>
        <v>8.6098101737130897</v>
      </c>
      <c r="AO238" s="186">
        <f t="shared" si="187"/>
        <v>8.5692537782238958</v>
      </c>
      <c r="AP238" s="186">
        <f t="shared" si="187"/>
        <v>8.5279929128566074</v>
      </c>
      <c r="AQ238" s="186">
        <f t="shared" si="187"/>
        <v>8.4860619638469181</v>
      </c>
      <c r="AR238" s="186">
        <f t="shared" si="187"/>
        <v>8.4528021676373761</v>
      </c>
      <c r="AS238" s="186">
        <f t="shared" si="187"/>
        <v>8.4185960560571509</v>
      </c>
      <c r="AT238" s="186">
        <f t="shared" si="187"/>
        <v>8.3834957012645397</v>
      </c>
      <c r="AU238" s="186">
        <f t="shared" si="187"/>
        <v>8.3475486302288466</v>
      </c>
      <c r="AV238" s="186">
        <f t="shared" si="187"/>
        <v>8.3138304830102232</v>
      </c>
    </row>
    <row r="239" spans="1:48">
      <c r="A239" s="4" t="s">
        <v>16</v>
      </c>
      <c r="B239" s="96" t="str">
        <f t="shared" si="185"/>
        <v>CEG</v>
      </c>
      <c r="C239" s="96" t="str">
        <f t="shared" si="185"/>
        <v>Commercial - Public lights</v>
      </c>
      <c r="E239" s="123"/>
      <c r="F239" s="123"/>
      <c r="I239" s="179"/>
      <c r="J239" s="186">
        <f t="shared" si="186"/>
        <v>10.30055287377321</v>
      </c>
      <c r="K239" s="186">
        <f t="shared" si="187"/>
        <v>10.023810698880988</v>
      </c>
      <c r="L239" s="186">
        <f t="shared" si="187"/>
        <v>9.7692144888562282</v>
      </c>
      <c r="M239" s="186">
        <f t="shared" si="187"/>
        <v>9.4922975350634147</v>
      </c>
      <c r="N239" s="186">
        <f t="shared" si="187"/>
        <v>9.2036100085703758</v>
      </c>
      <c r="O239" s="186">
        <f t="shared" si="187"/>
        <v>8.8711579824850144</v>
      </c>
      <c r="P239" s="186">
        <f t="shared" si="187"/>
        <v>8.9283467453532221</v>
      </c>
      <c r="Q239" s="186">
        <f t="shared" si="187"/>
        <v>8.995453942310931</v>
      </c>
      <c r="R239" s="186">
        <f t="shared" si="187"/>
        <v>8.995453942310931</v>
      </c>
      <c r="S239" s="186">
        <f t="shared" si="187"/>
        <v>8.9064866037315635</v>
      </c>
      <c r="T239" s="186">
        <f t="shared" si="187"/>
        <v>8.8115940418649217</v>
      </c>
      <c r="U239" s="186">
        <f t="shared" si="187"/>
        <v>8.7117357729933609</v>
      </c>
      <c r="V239" s="186">
        <f t="shared" si="187"/>
        <v>8.6058062983504389</v>
      </c>
      <c r="W239" s="186">
        <f t="shared" si="187"/>
        <v>8.4985659341647377</v>
      </c>
      <c r="X239" s="186">
        <f t="shared" si="187"/>
        <v>8.4003494140227186</v>
      </c>
      <c r="Y239" s="186">
        <f t="shared" si="187"/>
        <v>8.2960467074499018</v>
      </c>
      <c r="Z239" s="186">
        <f t="shared" si="187"/>
        <v>8.1905789141258705</v>
      </c>
      <c r="AA239" s="186">
        <f t="shared" si="187"/>
        <v>8.0827029228202978</v>
      </c>
      <c r="AB239" s="186">
        <f t="shared" si="187"/>
        <v>7.9720557571069373</v>
      </c>
      <c r="AC239" s="186">
        <f t="shared" si="187"/>
        <v>8.0714154114576537</v>
      </c>
      <c r="AD239" s="186">
        <f t="shared" si="187"/>
        <v>8.1677890477388999</v>
      </c>
      <c r="AE239" s="186">
        <f t="shared" si="187"/>
        <v>8.271689453842189</v>
      </c>
      <c r="AF239" s="186">
        <f t="shared" si="187"/>
        <v>8.3814128149601359</v>
      </c>
      <c r="AG239" s="186">
        <f t="shared" si="187"/>
        <v>8.4963330227553868</v>
      </c>
      <c r="AH239" s="186">
        <f t="shared" si="187"/>
        <v>8.6146712672017376</v>
      </c>
      <c r="AI239" s="186">
        <f t="shared" si="187"/>
        <v>8.7358233242822223</v>
      </c>
      <c r="AJ239" s="186">
        <f t="shared" si="187"/>
        <v>8.8570867495522378</v>
      </c>
      <c r="AK239" s="186">
        <f t="shared" si="187"/>
        <v>8.9813058571802991</v>
      </c>
      <c r="AL239" s="186">
        <f t="shared" si="187"/>
        <v>9.1109805715011518</v>
      </c>
      <c r="AM239" s="186">
        <f t="shared" si="187"/>
        <v>9.2557337027045854</v>
      </c>
      <c r="AN239" s="186">
        <f t="shared" si="187"/>
        <v>9.3976973327661923</v>
      </c>
      <c r="AO239" s="186">
        <f t="shared" si="187"/>
        <v>9.5370167307884959</v>
      </c>
      <c r="AP239" s="186">
        <f t="shared" si="187"/>
        <v>9.6738251434515306</v>
      </c>
      <c r="AQ239" s="186">
        <f t="shared" si="187"/>
        <v>9.8082451357322569</v>
      </c>
      <c r="AR239" s="186">
        <f t="shared" si="187"/>
        <v>9.9735722518038479</v>
      </c>
      <c r="AS239" s="186">
        <f t="shared" si="187"/>
        <v>10.135526357737008</v>
      </c>
      <c r="AT239" s="186">
        <f t="shared" si="187"/>
        <v>10.294293057531506</v>
      </c>
      <c r="AU239" s="186">
        <f t="shared" si="187"/>
        <v>10.450041754490188</v>
      </c>
      <c r="AV239" s="186">
        <f t="shared" si="187"/>
        <v>10.613735141840381</v>
      </c>
    </row>
    <row r="240" spans="1:48">
      <c r="A240" s="4" t="s">
        <v>16</v>
      </c>
      <c r="B240" s="96" t="str">
        <f t="shared" si="185"/>
        <v>CET</v>
      </c>
      <c r="C240" s="96" t="str">
        <f t="shared" si="185"/>
        <v>Commercial - Public Water</v>
      </c>
      <c r="E240" s="123"/>
      <c r="F240" s="123"/>
      <c r="I240" s="179"/>
      <c r="J240" s="186">
        <f t="shared" si="186"/>
        <v>3.5593512487513528</v>
      </c>
      <c r="K240" s="186">
        <f t="shared" si="187"/>
        <v>3.4637231190911666</v>
      </c>
      <c r="L240" s="186">
        <f t="shared" si="187"/>
        <v>3.3757475172779561</v>
      </c>
      <c r="M240" s="186">
        <f t="shared" si="187"/>
        <v>3.2800589928500612</v>
      </c>
      <c r="N240" s="186">
        <f t="shared" si="187"/>
        <v>3.1803031525069465</v>
      </c>
      <c r="O240" s="186">
        <f t="shared" ref="K240:AV241" si="189">O169+O181+O158</f>
        <v>3.0654245097100388</v>
      </c>
      <c r="P240" s="186">
        <f t="shared" si="189"/>
        <v>3.0851860600873766</v>
      </c>
      <c r="Q240" s="186">
        <f t="shared" si="189"/>
        <v>3.1083749207455065</v>
      </c>
      <c r="R240" s="186">
        <f t="shared" si="189"/>
        <v>3.1083749207455065</v>
      </c>
      <c r="S240" s="186">
        <f t="shared" si="189"/>
        <v>3.0776322983298847</v>
      </c>
      <c r="T240" s="186">
        <f t="shared" si="189"/>
        <v>3.044842217766615</v>
      </c>
      <c r="U240" s="186">
        <f t="shared" si="189"/>
        <v>3.0103362394602344</v>
      </c>
      <c r="V240" s="186">
        <f t="shared" si="189"/>
        <v>2.973732358826811</v>
      </c>
      <c r="W240" s="186">
        <f t="shared" si="189"/>
        <v>2.936675500922338</v>
      </c>
      <c r="X240" s="186">
        <f t="shared" si="189"/>
        <v>2.9027368281249188</v>
      </c>
      <c r="Y240" s="186">
        <f t="shared" si="189"/>
        <v>2.8666950764405636</v>
      </c>
      <c r="Z240" s="186">
        <f t="shared" si="189"/>
        <v>2.8302507295718859</v>
      </c>
      <c r="AA240" s="186">
        <f t="shared" si="189"/>
        <v>2.7929742310121419</v>
      </c>
      <c r="AB240" s="186">
        <f t="shared" si="189"/>
        <v>2.7547401544262726</v>
      </c>
      <c r="AC240" s="186">
        <f t="shared" si="189"/>
        <v>2.7890738367171699</v>
      </c>
      <c r="AD240" s="186">
        <f t="shared" si="189"/>
        <v>2.8223757018546975</v>
      </c>
      <c r="AE240" s="186">
        <f t="shared" si="189"/>
        <v>2.8582784387991516</v>
      </c>
      <c r="AF240" s="186">
        <f t="shared" si="189"/>
        <v>2.8961932951372749</v>
      </c>
      <c r="AG240" s="186">
        <f t="shared" si="189"/>
        <v>2.9359039194246632</v>
      </c>
      <c r="AH240" s="186">
        <f t="shared" si="189"/>
        <v>2.9767956446851227</v>
      </c>
      <c r="AI240" s="186">
        <f t="shared" si="189"/>
        <v>3.0186596815909641</v>
      </c>
      <c r="AJ240" s="186">
        <f t="shared" si="189"/>
        <v>3.0605622017228367</v>
      </c>
      <c r="AK240" s="186">
        <f t="shared" si="189"/>
        <v>3.1034860565171236</v>
      </c>
      <c r="AL240" s="186">
        <f t="shared" si="189"/>
        <v>3.1482950936635277</v>
      </c>
      <c r="AM240" s="186">
        <f t="shared" si="189"/>
        <v>3.1983144707419613</v>
      </c>
      <c r="AN240" s="186">
        <f t="shared" si="189"/>
        <v>3.2473699369998581</v>
      </c>
      <c r="AO240" s="186">
        <f t="shared" si="189"/>
        <v>3.2955116901079435</v>
      </c>
      <c r="AP240" s="186">
        <f t="shared" si="189"/>
        <v>3.3427857733944548</v>
      </c>
      <c r="AQ240" s="186">
        <f t="shared" si="189"/>
        <v>3.3892345391301024</v>
      </c>
      <c r="AR240" s="186">
        <f t="shared" si="189"/>
        <v>3.4463632470987959</v>
      </c>
      <c r="AS240" s="186">
        <f t="shared" si="189"/>
        <v>3.502326412984905</v>
      </c>
      <c r="AT240" s="186">
        <f t="shared" si="189"/>
        <v>3.5571881721641163</v>
      </c>
      <c r="AU240" s="186">
        <f t="shared" si="189"/>
        <v>3.6110070618688406</v>
      </c>
      <c r="AV240" s="186">
        <f t="shared" si="189"/>
        <v>3.6675712356386527</v>
      </c>
    </row>
    <row r="241" spans="1:48">
      <c r="A241" s="4" t="s">
        <v>16</v>
      </c>
      <c r="B241" s="96" t="str">
        <f t="shared" si="185"/>
        <v>CEO</v>
      </c>
      <c r="C241" s="96" t="str">
        <f t="shared" si="185"/>
        <v>Commercial - Other</v>
      </c>
      <c r="E241" s="123"/>
      <c r="F241" s="123"/>
      <c r="I241" s="179"/>
      <c r="J241" s="186">
        <f t="shared" si="186"/>
        <v>18.760184357078931</v>
      </c>
      <c r="K241" s="186">
        <f t="shared" si="189"/>
        <v>18.418479080845469</v>
      </c>
      <c r="L241" s="186">
        <f t="shared" si="189"/>
        <v>18.120961991998936</v>
      </c>
      <c r="M241" s="186">
        <f t="shared" si="189"/>
        <v>17.785935979440417</v>
      </c>
      <c r="N241" s="186">
        <f t="shared" si="189"/>
        <v>17.432555568363497</v>
      </c>
      <c r="O241" s="186">
        <f t="shared" si="189"/>
        <v>16.999241745794041</v>
      </c>
      <c r="P241" s="186">
        <f t="shared" si="189"/>
        <v>16.885165257262866</v>
      </c>
      <c r="Q241" s="186">
        <f t="shared" si="189"/>
        <v>16.774889982939797</v>
      </c>
      <c r="R241" s="186">
        <f t="shared" si="189"/>
        <v>16.638896048973443</v>
      </c>
      <c r="S241" s="186">
        <f t="shared" si="189"/>
        <v>16.125004926462807</v>
      </c>
      <c r="T241" s="186">
        <f t="shared" si="189"/>
        <v>15.615295865301368</v>
      </c>
      <c r="U241" s="186">
        <f t="shared" si="189"/>
        <v>15.110144829414189</v>
      </c>
      <c r="V241" s="186">
        <f t="shared" si="189"/>
        <v>14.609146297283422</v>
      </c>
      <c r="W241" s="186">
        <f t="shared" si="189"/>
        <v>14.114091388894838</v>
      </c>
      <c r="X241" s="186">
        <f t="shared" si="189"/>
        <v>13.628790287403023</v>
      </c>
      <c r="Y241" s="186">
        <f t="shared" si="189"/>
        <v>13.14759228718993</v>
      </c>
      <c r="Z241" s="186">
        <f t="shared" si="189"/>
        <v>12.672309223842754</v>
      </c>
      <c r="AA241" s="186">
        <f t="shared" si="189"/>
        <v>12.202466924550164</v>
      </c>
      <c r="AB241" s="186">
        <f t="shared" si="189"/>
        <v>11.737919579165389</v>
      </c>
      <c r="AC241" s="186">
        <f t="shared" si="189"/>
        <v>11.671623501043307</v>
      </c>
      <c r="AD241" s="186">
        <f t="shared" si="189"/>
        <v>11.604254563201549</v>
      </c>
      <c r="AE241" s="186">
        <f t="shared" si="189"/>
        <v>11.539589951982558</v>
      </c>
      <c r="AF241" s="186">
        <f t="shared" si="189"/>
        <v>11.477017496182382</v>
      </c>
      <c r="AG241" s="186">
        <f t="shared" si="189"/>
        <v>11.41631223855037</v>
      </c>
      <c r="AH241" s="186">
        <f t="shared" si="189"/>
        <v>11.356835062516668</v>
      </c>
      <c r="AI241" s="186">
        <f t="shared" si="189"/>
        <v>11.298368873745483</v>
      </c>
      <c r="AJ241" s="186">
        <f t="shared" si="189"/>
        <v>11.239942698946694</v>
      </c>
      <c r="AK241" s="186">
        <f t="shared" si="189"/>
        <v>11.182578484414829</v>
      </c>
      <c r="AL241" s="186">
        <f t="shared" si="189"/>
        <v>11.127174439088551</v>
      </c>
      <c r="AM241" s="186">
        <f t="shared" si="189"/>
        <v>11.077187985261535</v>
      </c>
      <c r="AN241" s="186">
        <f t="shared" si="189"/>
        <v>11.026199279156259</v>
      </c>
      <c r="AO241" s="186">
        <f t="shared" si="189"/>
        <v>10.974260515154999</v>
      </c>
      <c r="AP241" s="186">
        <f t="shared" si="189"/>
        <v>10.921419568050361</v>
      </c>
      <c r="AQ241" s="186">
        <f t="shared" si="189"/>
        <v>10.867720474758322</v>
      </c>
      <c r="AR241" s="186">
        <f t="shared" si="189"/>
        <v>10.825126139506864</v>
      </c>
      <c r="AS241" s="186">
        <f t="shared" si="189"/>
        <v>10.781319900433191</v>
      </c>
      <c r="AT241" s="186">
        <f t="shared" si="189"/>
        <v>10.736368444024308</v>
      </c>
      <c r="AU241" s="186">
        <f t="shared" si="189"/>
        <v>10.690332635946717</v>
      </c>
      <c r="AV241" s="186">
        <f t="shared" si="189"/>
        <v>10.647151311033008</v>
      </c>
    </row>
    <row r="242" spans="1:48">
      <c r="A242" s="4" t="s">
        <v>16</v>
      </c>
      <c r="E242" s="123"/>
      <c r="F242" s="123"/>
      <c r="J242" s="97"/>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row>
    <row r="243" spans="1:48">
      <c r="A243" s="4" t="s">
        <v>16</v>
      </c>
      <c r="E243" s="123"/>
      <c r="F243" s="123"/>
      <c r="J243" s="97"/>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row>
    <row r="244" spans="1:48">
      <c r="A244" s="4" t="s">
        <v>16</v>
      </c>
      <c r="E244" s="123"/>
      <c r="F244" s="123"/>
      <c r="J244" s="97"/>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row>
    <row r="245" spans="1:48">
      <c r="A245" s="4" t="s">
        <v>16</v>
      </c>
      <c r="B245" s="189" t="s">
        <v>493</v>
      </c>
      <c r="C245" s="125"/>
      <c r="D245" s="125"/>
      <c r="E245" s="126"/>
      <c r="F245" s="126"/>
      <c r="G245" s="125"/>
      <c r="H245" s="125"/>
      <c r="I245" s="190"/>
      <c r="J245" s="195">
        <f t="shared" ref="J245:AV245" si="190">SUM(J220:J241)</f>
        <v>350.82050880003044</v>
      </c>
      <c r="K245" s="195">
        <f t="shared" si="190"/>
        <v>343.42681995313302</v>
      </c>
      <c r="L245" s="195">
        <f t="shared" si="190"/>
        <v>336.83562957243498</v>
      </c>
      <c r="M245" s="195">
        <f t="shared" si="190"/>
        <v>329.5235749703067</v>
      </c>
      <c r="N245" s="195">
        <f t="shared" si="190"/>
        <v>321.8492237013084</v>
      </c>
      <c r="O245" s="195">
        <f t="shared" si="190"/>
        <v>312.68149374589541</v>
      </c>
      <c r="P245" s="195">
        <f t="shared" si="190"/>
        <v>314.69722470620707</v>
      </c>
      <c r="Q245" s="195">
        <f t="shared" si="190"/>
        <v>317.06255047622096</v>
      </c>
      <c r="R245" s="195">
        <f t="shared" si="190"/>
        <v>317.06255047622102</v>
      </c>
      <c r="S245" s="195">
        <f t="shared" si="190"/>
        <v>312.38619733689092</v>
      </c>
      <c r="T245" s="195">
        <f t="shared" si="190"/>
        <v>307.47031986148818</v>
      </c>
      <c r="U245" s="195">
        <f t="shared" si="190"/>
        <v>302.34946626809665</v>
      </c>
      <c r="V245" s="195">
        <f t="shared" si="190"/>
        <v>296.98627729663735</v>
      </c>
      <c r="W245" s="195">
        <f t="shared" si="190"/>
        <v>291.54559767329039</v>
      </c>
      <c r="X245" s="195">
        <f t="shared" si="190"/>
        <v>286.37837573739029</v>
      </c>
      <c r="Y245" s="195">
        <f t="shared" si="190"/>
        <v>280.96442820546986</v>
      </c>
      <c r="Z245" s="195">
        <f t="shared" si="190"/>
        <v>275.47064861333916</v>
      </c>
      <c r="AA245" s="195">
        <f t="shared" si="190"/>
        <v>269.85341975767614</v>
      </c>
      <c r="AB245" s="195">
        <f t="shared" si="190"/>
        <v>264.09935511346623</v>
      </c>
      <c r="AC245" s="195">
        <f t="shared" si="190"/>
        <v>267.34764740293372</v>
      </c>
      <c r="AD245" s="195">
        <f t="shared" si="190"/>
        <v>270.49777770382195</v>
      </c>
      <c r="AE245" s="195">
        <f t="shared" si="190"/>
        <v>273.89534210461244</v>
      </c>
      <c r="AF245" s="195">
        <f t="shared" si="190"/>
        <v>277.48432960812659</v>
      </c>
      <c r="AG245" s="195">
        <f t="shared" si="190"/>
        <v>281.24415760634588</v>
      </c>
      <c r="AH245" s="195">
        <f t="shared" si="190"/>
        <v>285.11634971854681</v>
      </c>
      <c r="AI245" s="195">
        <f t="shared" ref="AI245:AR245" si="191">SUM(AI220:AI241)</f>
        <v>289.08104275915144</v>
      </c>
      <c r="AJ245" s="195">
        <f t="shared" si="191"/>
        <v>293.0493969038402</v>
      </c>
      <c r="AK245" s="195">
        <f t="shared" si="191"/>
        <v>297.11491578468406</v>
      </c>
      <c r="AL245" s="195">
        <f t="shared" si="191"/>
        <v>301.35978160496768</v>
      </c>
      <c r="AM245" s="195">
        <f t="shared" si="191"/>
        <v>305.99173097670507</v>
      </c>
      <c r="AN245" s="195">
        <f t="shared" si="191"/>
        <v>310.53338296884226</v>
      </c>
      <c r="AO245" s="195">
        <f t="shared" si="191"/>
        <v>314.98944000615955</v>
      </c>
      <c r="AP245" s="195">
        <f t="shared" si="191"/>
        <v>319.36421534233074</v>
      </c>
      <c r="AQ245" s="195">
        <f t="shared" si="191"/>
        <v>323.66167645959968</v>
      </c>
      <c r="AR245" s="195">
        <f t="shared" si="191"/>
        <v>328.95961477598257</v>
      </c>
      <c r="AS245" s="195">
        <f t="shared" si="190"/>
        <v>334.14836726974681</v>
      </c>
      <c r="AT245" s="195">
        <f t="shared" si="190"/>
        <v>339.23394202404808</v>
      </c>
      <c r="AU245" s="195">
        <f t="shared" si="190"/>
        <v>344.22182269835247</v>
      </c>
      <c r="AV245" s="195">
        <f t="shared" si="190"/>
        <v>349.46687649703125</v>
      </c>
    </row>
    <row r="246" spans="1:48">
      <c r="A246" s="4" t="s">
        <v>16</v>
      </c>
      <c r="J246" s="118"/>
      <c r="K246" s="118"/>
      <c r="L246" s="118"/>
      <c r="M246" s="118"/>
      <c r="N246" s="118"/>
      <c r="O246" s="118"/>
      <c r="P246" s="118"/>
      <c r="Q246" s="118"/>
      <c r="R246" s="118"/>
      <c r="S246" s="118"/>
      <c r="T246" s="118"/>
      <c r="U246" s="118"/>
      <c r="V246" s="118"/>
      <c r="W246" s="118"/>
      <c r="X246" s="118"/>
      <c r="Y246" s="118"/>
      <c r="Z246" s="118"/>
      <c r="AA246" s="118"/>
      <c r="AB246" s="118"/>
      <c r="AC246" s="118"/>
      <c r="AD246" s="118"/>
      <c r="AE246" s="118"/>
      <c r="AF246" s="118"/>
      <c r="AG246" s="118"/>
      <c r="AH246" s="118"/>
      <c r="AI246" s="118"/>
      <c r="AJ246" s="118"/>
      <c r="AK246" s="118"/>
      <c r="AL246" s="118"/>
      <c r="AM246" s="118"/>
      <c r="AN246" s="118"/>
      <c r="AO246" s="118"/>
      <c r="AP246" s="118"/>
      <c r="AQ246" s="118"/>
      <c r="AR246" s="118"/>
      <c r="AS246" s="118"/>
      <c r="AT246" s="118"/>
      <c r="AU246" s="118"/>
      <c r="AV246" s="118"/>
    </row>
    <row r="247" spans="1:48" s="4" customFormat="1" ht="23.25">
      <c r="A247" s="4" t="s">
        <v>16</v>
      </c>
      <c r="B247" s="16" t="s">
        <v>18</v>
      </c>
      <c r="C247" s="16" t="s">
        <v>19</v>
      </c>
      <c r="D247" s="16" t="s">
        <v>20</v>
      </c>
      <c r="E247" s="16" t="s">
        <v>21</v>
      </c>
      <c r="F247" s="16" t="s">
        <v>22</v>
      </c>
      <c r="G247" s="16" t="s">
        <v>23</v>
      </c>
      <c r="H247" s="16" t="s">
        <v>24</v>
      </c>
      <c r="I247" s="17" t="s">
        <v>25</v>
      </c>
      <c r="J247" s="196">
        <v>2012</v>
      </c>
      <c r="K247" s="196">
        <v>2013</v>
      </c>
      <c r="L247" s="196">
        <v>2014</v>
      </c>
      <c r="M247" s="196">
        <v>2015</v>
      </c>
      <c r="N247" s="196">
        <v>2016</v>
      </c>
      <c r="O247" s="196">
        <v>2017</v>
      </c>
      <c r="P247" s="196">
        <v>2018</v>
      </c>
      <c r="Q247" s="196">
        <v>2019</v>
      </c>
      <c r="R247" s="196">
        <v>2020</v>
      </c>
      <c r="S247" s="196">
        <v>2021</v>
      </c>
      <c r="T247" s="196">
        <v>2022</v>
      </c>
      <c r="U247" s="196">
        <v>2023</v>
      </c>
      <c r="V247" s="196">
        <v>2024</v>
      </c>
      <c r="W247" s="196">
        <v>2025</v>
      </c>
      <c r="X247" s="196">
        <v>2026</v>
      </c>
      <c r="Y247" s="196">
        <v>2027</v>
      </c>
      <c r="Z247" s="196">
        <v>2028</v>
      </c>
      <c r="AA247" s="196">
        <v>2029</v>
      </c>
      <c r="AB247" s="196">
        <v>2030</v>
      </c>
      <c r="AC247" s="196">
        <v>2031</v>
      </c>
      <c r="AD247" s="196">
        <v>2032</v>
      </c>
      <c r="AE247" s="196">
        <v>2033</v>
      </c>
      <c r="AF247" s="196">
        <v>2034</v>
      </c>
      <c r="AG247" s="196">
        <v>2035</v>
      </c>
      <c r="AH247" s="196">
        <v>2036</v>
      </c>
      <c r="AI247" s="196">
        <v>2037</v>
      </c>
      <c r="AJ247" s="196">
        <v>2038</v>
      </c>
      <c r="AK247" s="196">
        <v>2039</v>
      </c>
      <c r="AL247" s="196">
        <v>2040</v>
      </c>
      <c r="AM247" s="196">
        <v>2045</v>
      </c>
      <c r="AN247" s="196">
        <v>2050</v>
      </c>
      <c r="AO247" s="196">
        <v>2060</v>
      </c>
      <c r="AP247" s="196">
        <v>2070</v>
      </c>
      <c r="AQ247" s="196"/>
      <c r="AR247" s="18"/>
      <c r="AS247" s="18"/>
      <c r="AT247" s="18"/>
      <c r="AU247" s="18"/>
      <c r="AV247" s="18"/>
    </row>
    <row r="248" spans="1:48" s="4" customFormat="1">
      <c r="A248" s="4" t="s">
        <v>125</v>
      </c>
      <c r="B248" s="22" t="str">
        <f t="shared" ref="B248:B256" si="192">IF(A248="*","","COM_PROJ")</f>
        <v>COM_PROJ</v>
      </c>
      <c r="C248" s="23" t="str">
        <f t="shared" ref="C248:C266" si="193">IF($A248="*","","-")</f>
        <v>-</v>
      </c>
      <c r="D248" s="22" t="str">
        <f>COM!B162</f>
        <v>CEC</v>
      </c>
      <c r="E248" s="23" t="str">
        <f t="shared" ref="E248:H263" si="194">IF($A248="*","","-")</f>
        <v>-</v>
      </c>
      <c r="F248" s="23" t="str">
        <f t="shared" si="194"/>
        <v>-</v>
      </c>
      <c r="G248" s="23" t="str">
        <f t="shared" si="194"/>
        <v>-</v>
      </c>
      <c r="H248" s="23" t="str">
        <f t="shared" si="194"/>
        <v>-</v>
      </c>
      <c r="I248" s="22">
        <f t="shared" ref="I248:I266" si="195">IF(A248="*","",0)</f>
        <v>0</v>
      </c>
      <c r="J248" s="10">
        <f t="shared" ref="J248:S256" si="196">INDEX($J$233:$AV$241,MATCH($D248,$B$233:$B$241,0),MATCH(J$247,$J$104:$AV$104,0))</f>
        <v>139.66439435388435</v>
      </c>
      <c r="K248" s="10">
        <f t="shared" si="196"/>
        <v>135.91206875329351</v>
      </c>
      <c r="L248" s="10">
        <f t="shared" si="196"/>
        <v>132.46001856592557</v>
      </c>
      <c r="M248" s="10">
        <f t="shared" si="196"/>
        <v>128.70532315183087</v>
      </c>
      <c r="N248" s="10">
        <f t="shared" si="196"/>
        <v>124.79103145901988</v>
      </c>
      <c r="O248" s="10">
        <f t="shared" si="196"/>
        <v>120.28334032399778</v>
      </c>
      <c r="P248" s="10">
        <f t="shared" si="196"/>
        <v>119.47615719794113</v>
      </c>
      <c r="Q248" s="10">
        <f t="shared" si="196"/>
        <v>118.6958707269869</v>
      </c>
      <c r="R248" s="10">
        <f t="shared" si="196"/>
        <v>117.73360400439491</v>
      </c>
      <c r="S248" s="10">
        <f t="shared" si="196"/>
        <v>114.09741000805259</v>
      </c>
      <c r="T248" s="10">
        <f t="shared" ref="T248:AC256" si="197">INDEX($J$233:$AV$241,MATCH($D248,$B$233:$B$241,0),MATCH(T$247,$J$104:$AV$104,0))</f>
        <v>110.49080746737891</v>
      </c>
      <c r="U248" s="10">
        <f t="shared" si="197"/>
        <v>106.9164566302499</v>
      </c>
      <c r="V248" s="10">
        <f t="shared" si="197"/>
        <v>103.37148810499093</v>
      </c>
      <c r="W248" s="10">
        <f t="shared" si="197"/>
        <v>99.868575509521605</v>
      </c>
      <c r="X248" s="10">
        <f t="shared" si="197"/>
        <v>96.434678961471533</v>
      </c>
      <c r="Y248" s="10">
        <f t="shared" si="197"/>
        <v>93.029815162933033</v>
      </c>
      <c r="Z248" s="10">
        <f t="shared" si="197"/>
        <v>89.666804311406963</v>
      </c>
      <c r="AA248" s="10">
        <f t="shared" si="197"/>
        <v>86.342291251969897</v>
      </c>
      <c r="AB248" s="10">
        <f t="shared" si="197"/>
        <v>83.055244260279665</v>
      </c>
      <c r="AC248" s="10">
        <f t="shared" si="197"/>
        <v>82.586146058950902</v>
      </c>
      <c r="AD248" s="10">
        <f t="shared" ref="AD248:AN256" si="198">INDEX($J$233:$AV$241,MATCH($D248,$B$233:$B$241,0),MATCH(AD$247,$J$104:$AV$104,0))</f>
        <v>82.109456510154317</v>
      </c>
      <c r="AE248" s="10">
        <f t="shared" si="198"/>
        <v>81.651902252471203</v>
      </c>
      <c r="AF248" s="10">
        <f t="shared" si="198"/>
        <v>81.209151681094511</v>
      </c>
      <c r="AG248" s="10">
        <f t="shared" si="198"/>
        <v>80.779613042112928</v>
      </c>
      <c r="AH248" s="10">
        <f t="shared" si="198"/>
        <v>80.358764070532061</v>
      </c>
      <c r="AI248" s="10">
        <f t="shared" si="198"/>
        <v>79.94506864890235</v>
      </c>
      <c r="AJ248" s="10">
        <f t="shared" si="198"/>
        <v>79.531656358387025</v>
      </c>
      <c r="AK248" s="10">
        <f t="shared" si="198"/>
        <v>79.125758292924075</v>
      </c>
      <c r="AL248" s="10">
        <f t="shared" si="198"/>
        <v>78.733730004900238</v>
      </c>
      <c r="AM248" s="10">
        <f>INDEX($J$233:$AV$241,MATCH($D248,$B$233:$B$241,0),MATCH(AM$247,$J$104:$AV$104,0))</f>
        <v>76.89788403267238</v>
      </c>
      <c r="AN248" s="10">
        <f>INDEX($J$233:$AV$241,MATCH($D248,$B$233:$B$241,0),MATCH(AN$247,$J$104:$AV$104,0))</f>
        <v>75.337179374071042</v>
      </c>
      <c r="AO248" s="6">
        <f>AN248</f>
        <v>75.337179374071042</v>
      </c>
      <c r="AP248" s="6">
        <f>AO248</f>
        <v>75.337179374071042</v>
      </c>
      <c r="AQ248" s="6"/>
      <c r="AR248" s="6"/>
      <c r="AS248" s="6"/>
      <c r="AT248" s="6"/>
      <c r="AU248" s="6"/>
      <c r="AV248" s="6"/>
    </row>
    <row r="249" spans="1:48" s="4" customFormat="1">
      <c r="A249" s="4" t="s">
        <v>125</v>
      </c>
      <c r="B249" s="22" t="str">
        <f t="shared" si="192"/>
        <v>COM_PROJ</v>
      </c>
      <c r="C249" s="23" t="str">
        <f t="shared" si="193"/>
        <v>-</v>
      </c>
      <c r="D249" s="22" t="str">
        <f>COM!B163</f>
        <v>CEH</v>
      </c>
      <c r="E249" s="23" t="str">
        <f t="shared" si="194"/>
        <v>-</v>
      </c>
      <c r="F249" s="23" t="str">
        <f t="shared" si="194"/>
        <v>-</v>
      </c>
      <c r="G249" s="23" t="str">
        <f t="shared" si="194"/>
        <v>-</v>
      </c>
      <c r="H249" s="23" t="str">
        <f t="shared" si="194"/>
        <v>-</v>
      </c>
      <c r="I249" s="22">
        <f t="shared" si="195"/>
        <v>0</v>
      </c>
      <c r="J249" s="10">
        <f t="shared" si="196"/>
        <v>7.8517549075018991</v>
      </c>
      <c r="K249" s="10">
        <f t="shared" si="196"/>
        <v>8.5481458503642624</v>
      </c>
      <c r="L249" s="10">
        <f t="shared" si="196"/>
        <v>9.282962289600075</v>
      </c>
      <c r="M249" s="10">
        <f t="shared" si="196"/>
        <v>10.018335457385795</v>
      </c>
      <c r="N249" s="10">
        <f t="shared" si="196"/>
        <v>10.761970407471427</v>
      </c>
      <c r="O249" s="10">
        <f t="shared" si="196"/>
        <v>11.470981711368385</v>
      </c>
      <c r="P249" s="10">
        <f t="shared" si="196"/>
        <v>11.394003612391582</v>
      </c>
      <c r="Q249" s="10">
        <f t="shared" si="196"/>
        <v>11.319590548921324</v>
      </c>
      <c r="R249" s="10">
        <f t="shared" si="196"/>
        <v>11.227822695230378</v>
      </c>
      <c r="S249" s="10">
        <f t="shared" si="196"/>
        <v>10.88105218886867</v>
      </c>
      <c r="T249" s="10">
        <f t="shared" si="197"/>
        <v>10.537103711275648</v>
      </c>
      <c r="U249" s="10">
        <f t="shared" si="197"/>
        <v>10.19623096054991</v>
      </c>
      <c r="V249" s="10">
        <f t="shared" si="197"/>
        <v>9.8581602933146293</v>
      </c>
      <c r="W249" s="10">
        <f t="shared" si="197"/>
        <v>9.5241003461023581</v>
      </c>
      <c r="X249" s="10">
        <f t="shared" si="197"/>
        <v>9.1966222066084669</v>
      </c>
      <c r="Y249" s="10">
        <f t="shared" si="197"/>
        <v>8.8719128141229397</v>
      </c>
      <c r="Z249" s="10">
        <f t="shared" si="197"/>
        <v>8.551194783936241</v>
      </c>
      <c r="AA249" s="10">
        <f t="shared" si="197"/>
        <v>8.234148147209277</v>
      </c>
      <c r="AB249" s="10">
        <f t="shared" si="197"/>
        <v>7.9206745121695228</v>
      </c>
      <c r="AC249" s="10">
        <f t="shared" si="197"/>
        <v>7.8759383344595948</v>
      </c>
      <c r="AD249" s="10">
        <f t="shared" si="198"/>
        <v>7.8304781977397724</v>
      </c>
      <c r="AE249" s="10">
        <f t="shared" si="198"/>
        <v>7.7868429236635439</v>
      </c>
      <c r="AF249" s="10">
        <f t="shared" si="198"/>
        <v>7.7446194229420016</v>
      </c>
      <c r="AG249" s="10">
        <f t="shared" si="198"/>
        <v>7.7036558958333288</v>
      </c>
      <c r="AH249" s="10">
        <f t="shared" si="198"/>
        <v>7.6635210704847072</v>
      </c>
      <c r="AI249" s="10">
        <f t="shared" si="198"/>
        <v>7.6240684529999534</v>
      </c>
      <c r="AJ249" s="10">
        <f t="shared" si="198"/>
        <v>7.5846428366928045</v>
      </c>
      <c r="AK249" s="10">
        <f t="shared" si="198"/>
        <v>7.5459338245131979</v>
      </c>
      <c r="AL249" s="10">
        <f t="shared" si="198"/>
        <v>7.508547522219402</v>
      </c>
      <c r="AM249" s="10">
        <f t="shared" si="198"/>
        <v>7.333469614376221</v>
      </c>
      <c r="AN249" s="10">
        <f t="shared" si="198"/>
        <v>7.1846309260970287</v>
      </c>
      <c r="AO249" s="6">
        <f t="shared" ref="AO249:AP264" si="199">AN249</f>
        <v>7.1846309260970287</v>
      </c>
      <c r="AP249" s="6">
        <f t="shared" si="199"/>
        <v>7.1846309260970287</v>
      </c>
      <c r="AQ249" s="6"/>
      <c r="AR249" s="6"/>
      <c r="AS249" s="6"/>
      <c r="AT249" s="6"/>
      <c r="AU249" s="6"/>
      <c r="AV249" s="6"/>
    </row>
    <row r="250" spans="1:48" s="4" customFormat="1">
      <c r="A250" s="4" t="s">
        <v>125</v>
      </c>
      <c r="B250" s="22" t="str">
        <f t="shared" si="192"/>
        <v>COM_PROJ</v>
      </c>
      <c r="C250" s="23" t="str">
        <f t="shared" si="193"/>
        <v>-</v>
      </c>
      <c r="D250" s="22" t="str">
        <f>COM!B164</f>
        <v>CEK</v>
      </c>
      <c r="E250" s="23" t="str">
        <f t="shared" si="194"/>
        <v>-</v>
      </c>
      <c r="F250" s="23" t="str">
        <f t="shared" si="194"/>
        <v>-</v>
      </c>
      <c r="G250" s="23" t="str">
        <f t="shared" si="194"/>
        <v>-</v>
      </c>
      <c r="H250" s="23" t="str">
        <f t="shared" si="194"/>
        <v>-</v>
      </c>
      <c r="I250" s="22">
        <f t="shared" si="195"/>
        <v>0</v>
      </c>
      <c r="J250" s="10">
        <f t="shared" si="196"/>
        <v>9.8944997565297612</v>
      </c>
      <c r="K250" s="10">
        <f t="shared" si="196"/>
        <v>9.639891973427412</v>
      </c>
      <c r="L250" s="10">
        <f t="shared" si="196"/>
        <v>9.4068236837096606</v>
      </c>
      <c r="M250" s="10">
        <f t="shared" si="196"/>
        <v>9.1525319237345215</v>
      </c>
      <c r="N250" s="10">
        <f t="shared" si="196"/>
        <v>8.8871468025102622</v>
      </c>
      <c r="O250" s="10">
        <f t="shared" si="196"/>
        <v>8.579706769854079</v>
      </c>
      <c r="P250" s="10">
        <f t="shared" si="196"/>
        <v>8.5221310946817272</v>
      </c>
      <c r="Q250" s="10">
        <f t="shared" si="196"/>
        <v>8.4664739346856805</v>
      </c>
      <c r="R250" s="10">
        <f t="shared" si="196"/>
        <v>8.3978362805268461</v>
      </c>
      <c r="S250" s="10">
        <f t="shared" si="196"/>
        <v>8.1384697035521238</v>
      </c>
      <c r="T250" s="10">
        <f t="shared" si="197"/>
        <v>7.8812138595504493</v>
      </c>
      <c r="U250" s="10">
        <f t="shared" si="197"/>
        <v>7.6262585017050117</v>
      </c>
      <c r="V250" s="10">
        <f t="shared" si="197"/>
        <v>7.3733989587861162</v>
      </c>
      <c r="W250" s="10">
        <f t="shared" si="197"/>
        <v>7.1235392290130566</v>
      </c>
      <c r="X250" s="10">
        <f t="shared" si="197"/>
        <v>6.8786023542893844</v>
      </c>
      <c r="Y250" s="10">
        <f t="shared" si="197"/>
        <v>6.6357363605111628</v>
      </c>
      <c r="Z250" s="10">
        <f t="shared" si="197"/>
        <v>6.3958557012926036</v>
      </c>
      <c r="AA250" s="10">
        <f t="shared" si="197"/>
        <v>6.1587210563310526</v>
      </c>
      <c r="AB250" s="10">
        <f t="shared" si="197"/>
        <v>5.9242588336203408</v>
      </c>
      <c r="AC250" s="10">
        <f t="shared" si="197"/>
        <v>5.8907984641059459</v>
      </c>
      <c r="AD250" s="10">
        <f t="shared" si="198"/>
        <v>5.8567966103337419</v>
      </c>
      <c r="AE250" s="10">
        <f t="shared" si="198"/>
        <v>5.8241596603484407</v>
      </c>
      <c r="AF250" s="10">
        <f t="shared" si="198"/>
        <v>5.7925786445206029</v>
      </c>
      <c r="AG250" s="10">
        <f t="shared" si="198"/>
        <v>5.7619400244186227</v>
      </c>
      <c r="AH250" s="10">
        <f t="shared" si="198"/>
        <v>5.7319212307865826</v>
      </c>
      <c r="AI250" s="10">
        <f t="shared" si="198"/>
        <v>5.7024126936936375</v>
      </c>
      <c r="AJ250" s="10">
        <f t="shared" si="198"/>
        <v>5.6729243520985246</v>
      </c>
      <c r="AK250" s="10">
        <f t="shared" si="198"/>
        <v>5.6439719936859403</v>
      </c>
      <c r="AL250" s="10">
        <f t="shared" si="198"/>
        <v>5.6160089545179854</v>
      </c>
      <c r="AM250" s="10">
        <f t="shared" si="198"/>
        <v>5.4850596470419442</v>
      </c>
      <c r="AN250" s="10">
        <f t="shared" si="198"/>
        <v>5.37373593181192</v>
      </c>
      <c r="AO250" s="6">
        <f t="shared" si="199"/>
        <v>5.37373593181192</v>
      </c>
      <c r="AP250" s="6">
        <f t="shared" si="199"/>
        <v>5.37373593181192</v>
      </c>
      <c r="AQ250" s="6"/>
      <c r="AR250" s="6"/>
      <c r="AS250" s="6"/>
      <c r="AT250" s="6"/>
      <c r="AU250" s="6"/>
      <c r="AV250" s="6"/>
    </row>
    <row r="251" spans="1:48" s="4" customFormat="1">
      <c r="A251" s="4" t="s">
        <v>125</v>
      </c>
      <c r="B251" s="22" t="str">
        <f t="shared" si="192"/>
        <v>COM_PROJ</v>
      </c>
      <c r="C251" s="23" t="str">
        <f t="shared" si="193"/>
        <v>-</v>
      </c>
      <c r="D251" s="22" t="str">
        <f>COM!B165</f>
        <v>CEL</v>
      </c>
      <c r="E251" s="23" t="str">
        <f t="shared" si="194"/>
        <v>-</v>
      </c>
      <c r="F251" s="23" t="str">
        <f t="shared" si="194"/>
        <v>-</v>
      </c>
      <c r="G251" s="23" t="str">
        <f t="shared" si="194"/>
        <v>-</v>
      </c>
      <c r="H251" s="23" t="str">
        <f t="shared" si="194"/>
        <v>-</v>
      </c>
      <c r="I251" s="22">
        <f t="shared" si="195"/>
        <v>0</v>
      </c>
      <c r="J251" s="10">
        <f t="shared" si="196"/>
        <v>121.54027190568891</v>
      </c>
      <c r="K251" s="10">
        <f t="shared" si="196"/>
        <v>118.27488221288776</v>
      </c>
      <c r="L251" s="10">
        <f t="shared" si="196"/>
        <v>115.2708014638481</v>
      </c>
      <c r="M251" s="10">
        <f t="shared" si="196"/>
        <v>112.00334948610346</v>
      </c>
      <c r="N251" s="10">
        <f t="shared" si="196"/>
        <v>108.59701189474154</v>
      </c>
      <c r="O251" s="10">
        <f t="shared" si="196"/>
        <v>104.67427977141128</v>
      </c>
      <c r="P251" s="10">
        <f t="shared" si="196"/>
        <v>103.97184407137146</v>
      </c>
      <c r="Q251" s="10">
        <f t="shared" si="196"/>
        <v>103.29281467176793</v>
      </c>
      <c r="R251" s="10">
        <f t="shared" si="196"/>
        <v>102.45542043359663</v>
      </c>
      <c r="S251" s="10">
        <f t="shared" si="196"/>
        <v>99.291092051536197</v>
      </c>
      <c r="T251" s="10">
        <f t="shared" si="197"/>
        <v>96.152515068640085</v>
      </c>
      <c r="U251" s="10">
        <f t="shared" si="197"/>
        <v>93.042004514817563</v>
      </c>
      <c r="V251" s="10">
        <f t="shared" si="197"/>
        <v>89.957063356762845</v>
      </c>
      <c r="W251" s="10">
        <f t="shared" si="197"/>
        <v>86.9087205684324</v>
      </c>
      <c r="X251" s="10">
        <f t="shared" si="197"/>
        <v>83.920437677314808</v>
      </c>
      <c r="Y251" s="10">
        <f t="shared" si="197"/>
        <v>80.957419981998427</v>
      </c>
      <c r="Z251" s="10">
        <f t="shared" si="197"/>
        <v>78.03082401452096</v>
      </c>
      <c r="AA251" s="10">
        <f t="shared" si="197"/>
        <v>75.137730015386325</v>
      </c>
      <c r="AB251" s="10">
        <f t="shared" si="197"/>
        <v>72.277240146189399</v>
      </c>
      <c r="AC251" s="10">
        <f t="shared" si="197"/>
        <v>71.869016395220314</v>
      </c>
      <c r="AD251" s="10">
        <f t="shared" si="198"/>
        <v>71.454186419095308</v>
      </c>
      <c r="AE251" s="10">
        <f t="shared" si="198"/>
        <v>71.056008564620086</v>
      </c>
      <c r="AF251" s="10">
        <f t="shared" si="198"/>
        <v>70.67071333543538</v>
      </c>
      <c r="AG251" s="10">
        <f t="shared" si="198"/>
        <v>70.296915538098858</v>
      </c>
      <c r="AH251" s="10">
        <f t="shared" si="198"/>
        <v>69.930679757864397</v>
      </c>
      <c r="AI251" s="10">
        <f t="shared" si="198"/>
        <v>69.570669217857969</v>
      </c>
      <c r="AJ251" s="10">
        <f t="shared" si="198"/>
        <v>69.210905067296636</v>
      </c>
      <c r="AK251" s="10">
        <f t="shared" si="198"/>
        <v>68.857680027582091</v>
      </c>
      <c r="AL251" s="10">
        <f t="shared" si="198"/>
        <v>68.516524896801869</v>
      </c>
      <c r="AM251" s="10">
        <f t="shared" si="198"/>
        <v>66.918915000064928</v>
      </c>
      <c r="AN251" s="10">
        <f t="shared" si="198"/>
        <v>65.560741576921401</v>
      </c>
      <c r="AO251" s="6">
        <f t="shared" si="199"/>
        <v>65.560741576921401</v>
      </c>
      <c r="AP251" s="6">
        <f t="shared" si="199"/>
        <v>65.560741576921401</v>
      </c>
      <c r="AQ251" s="6"/>
      <c r="AR251" s="6"/>
      <c r="AS251" s="6"/>
      <c r="AT251" s="6"/>
      <c r="AU251" s="6"/>
      <c r="AV251" s="6"/>
    </row>
    <row r="252" spans="1:48" s="4" customFormat="1">
      <c r="A252" s="4" t="s">
        <v>125</v>
      </c>
      <c r="B252" s="22" t="str">
        <f t="shared" si="192"/>
        <v>COM_PROJ</v>
      </c>
      <c r="C252" s="23" t="str">
        <f t="shared" si="193"/>
        <v>-</v>
      </c>
      <c r="D252" s="22" t="str">
        <f>COM!B166</f>
        <v>CER</v>
      </c>
      <c r="E252" s="23" t="str">
        <f t="shared" si="194"/>
        <v>-</v>
      </c>
      <c r="F252" s="23" t="str">
        <f t="shared" si="194"/>
        <v>-</v>
      </c>
      <c r="G252" s="23" t="str">
        <f t="shared" si="194"/>
        <v>-</v>
      </c>
      <c r="H252" s="23" t="str">
        <f t="shared" si="194"/>
        <v>-</v>
      </c>
      <c r="I252" s="22">
        <f t="shared" si="195"/>
        <v>0</v>
      </c>
      <c r="J252" s="10">
        <f t="shared" si="196"/>
        <v>29.566390373747055</v>
      </c>
      <c r="K252" s="10">
        <f t="shared" si="196"/>
        <v>28.772038140812398</v>
      </c>
      <c r="L252" s="10">
        <f t="shared" si="196"/>
        <v>28.041253004760659</v>
      </c>
      <c r="M252" s="10">
        <f t="shared" si="196"/>
        <v>27.246399091841703</v>
      </c>
      <c r="N252" s="10">
        <f t="shared" si="196"/>
        <v>26.417759288821308</v>
      </c>
      <c r="O252" s="10">
        <f t="shared" si="196"/>
        <v>25.463499211305457</v>
      </c>
      <c r="P252" s="10">
        <f t="shared" si="196"/>
        <v>25.292621791054586</v>
      </c>
      <c r="Q252" s="10">
        <f t="shared" si="196"/>
        <v>25.12743828447573</v>
      </c>
      <c r="R252" s="10">
        <f t="shared" si="196"/>
        <v>24.923730290785286</v>
      </c>
      <c r="S252" s="10">
        <f t="shared" si="196"/>
        <v>24.153962651238416</v>
      </c>
      <c r="T252" s="10">
        <f t="shared" si="197"/>
        <v>23.390459403801472</v>
      </c>
      <c r="U252" s="10">
        <f t="shared" si="197"/>
        <v>22.633783712246828</v>
      </c>
      <c r="V252" s="10">
        <f t="shared" si="197"/>
        <v>21.88332813790138</v>
      </c>
      <c r="W252" s="10">
        <f t="shared" si="197"/>
        <v>21.141775634689022</v>
      </c>
      <c r="X252" s="10">
        <f t="shared" si="197"/>
        <v>20.41483355104344</v>
      </c>
      <c r="Y252" s="10">
        <f t="shared" si="197"/>
        <v>19.694037583662166</v>
      </c>
      <c r="Z252" s="10">
        <f t="shared" si="197"/>
        <v>18.982101716776693</v>
      </c>
      <c r="AA252" s="10">
        <f t="shared" si="197"/>
        <v>18.278315677588509</v>
      </c>
      <c r="AB252" s="10">
        <f t="shared" si="197"/>
        <v>17.582461054205304</v>
      </c>
      <c r="AC252" s="10">
        <f t="shared" si="197"/>
        <v>17.483154852304153</v>
      </c>
      <c r="AD252" s="10">
        <f t="shared" si="198"/>
        <v>17.382241592686292</v>
      </c>
      <c r="AE252" s="10">
        <f t="shared" si="198"/>
        <v>17.28537919721024</v>
      </c>
      <c r="AF252" s="10">
        <f t="shared" si="198"/>
        <v>17.191650682565673</v>
      </c>
      <c r="AG252" s="10">
        <f t="shared" si="198"/>
        <v>17.100719080853651</v>
      </c>
      <c r="AH252" s="10">
        <f t="shared" si="198"/>
        <v>17.011627046769277</v>
      </c>
      <c r="AI252" s="10">
        <f t="shared" si="198"/>
        <v>16.924049390428728</v>
      </c>
      <c r="AJ252" s="10">
        <f t="shared" si="198"/>
        <v>16.836531671805968</v>
      </c>
      <c r="AK252" s="10">
        <f t="shared" si="198"/>
        <v>16.750604684394858</v>
      </c>
      <c r="AL252" s="10">
        <f t="shared" si="198"/>
        <v>16.667613873065413</v>
      </c>
      <c r="AM252" s="10">
        <f t="shared" si="198"/>
        <v>16.278972666893527</v>
      </c>
      <c r="AN252" s="10">
        <f t="shared" si="198"/>
        <v>15.948577769841874</v>
      </c>
      <c r="AO252" s="6">
        <f t="shared" si="199"/>
        <v>15.948577769841874</v>
      </c>
      <c r="AP252" s="6">
        <f t="shared" si="199"/>
        <v>15.948577769841874</v>
      </c>
      <c r="AQ252" s="6"/>
      <c r="AR252" s="6"/>
      <c r="AS252" s="6"/>
      <c r="AT252" s="6"/>
      <c r="AU252" s="6"/>
      <c r="AV252" s="6"/>
    </row>
    <row r="253" spans="1:48" s="4" customFormat="1">
      <c r="A253" s="4" t="s">
        <v>125</v>
      </c>
      <c r="B253" s="22" t="str">
        <f t="shared" si="192"/>
        <v>COM_PROJ</v>
      </c>
      <c r="C253" s="23" t="str">
        <f t="shared" si="193"/>
        <v>-</v>
      </c>
      <c r="D253" s="22" t="str">
        <f>COM!B167</f>
        <v>CEW</v>
      </c>
      <c r="E253" s="23" t="str">
        <f t="shared" si="194"/>
        <v>-</v>
      </c>
      <c r="F253" s="23" t="str">
        <f t="shared" si="194"/>
        <v>-</v>
      </c>
      <c r="G253" s="23" t="str">
        <f t="shared" si="194"/>
        <v>-</v>
      </c>
      <c r="H253" s="23" t="str">
        <f t="shared" si="194"/>
        <v>-</v>
      </c>
      <c r="I253" s="22">
        <f t="shared" si="195"/>
        <v>0</v>
      </c>
      <c r="J253" s="10">
        <f t="shared" si="196"/>
        <v>9.6831090230750316</v>
      </c>
      <c r="K253" s="10">
        <f t="shared" si="196"/>
        <v>10.373780123530006</v>
      </c>
      <c r="L253" s="10">
        <f t="shared" si="196"/>
        <v>11.107846566457823</v>
      </c>
      <c r="M253" s="10">
        <f t="shared" si="196"/>
        <v>11.839343352056451</v>
      </c>
      <c r="N253" s="10">
        <f t="shared" si="196"/>
        <v>12.577835119303142</v>
      </c>
      <c r="O253" s="10">
        <f t="shared" si="196"/>
        <v>13.273861719969343</v>
      </c>
      <c r="P253" s="10">
        <f t="shared" si="196"/>
        <v>13.184785068380622</v>
      </c>
      <c r="Q253" s="10">
        <f t="shared" si="196"/>
        <v>13.098676595756643</v>
      </c>
      <c r="R253" s="10">
        <f t="shared" si="196"/>
        <v>12.992485701996889</v>
      </c>
      <c r="S253" s="10">
        <f t="shared" si="196"/>
        <v>12.591213704025932</v>
      </c>
      <c r="T253" s="10">
        <f t="shared" si="197"/>
        <v>12.193207269595039</v>
      </c>
      <c r="U253" s="10">
        <f t="shared" si="197"/>
        <v>11.798759970219187</v>
      </c>
      <c r="V253" s="10">
        <f t="shared" si="197"/>
        <v>11.407555154330453</v>
      </c>
      <c r="W253" s="10">
        <f t="shared" si="197"/>
        <v>11.020991418370405</v>
      </c>
      <c r="X253" s="10">
        <f t="shared" si="197"/>
        <v>10.642043944707648</v>
      </c>
      <c r="Y253" s="10">
        <f t="shared" si="197"/>
        <v>10.266300378596251</v>
      </c>
      <c r="Z253" s="10">
        <f t="shared" si="197"/>
        <v>9.8951754922597903</v>
      </c>
      <c r="AA253" s="10">
        <f t="shared" si="197"/>
        <v>9.5282990277524622</v>
      </c>
      <c r="AB253" s="10">
        <f t="shared" si="197"/>
        <v>9.165557129188544</v>
      </c>
      <c r="AC253" s="10">
        <f t="shared" si="197"/>
        <v>9.1137898217563436</v>
      </c>
      <c r="AD253" s="10">
        <f t="shared" si="198"/>
        <v>9.0611847715720337</v>
      </c>
      <c r="AE253" s="10">
        <f t="shared" si="198"/>
        <v>9.0106913954360763</v>
      </c>
      <c r="AF253" s="10">
        <f t="shared" si="198"/>
        <v>8.9618316793269202</v>
      </c>
      <c r="AG253" s="10">
        <f t="shared" si="198"/>
        <v>8.9144299653250698</v>
      </c>
      <c r="AH253" s="10">
        <f t="shared" si="198"/>
        <v>8.8679871991139851</v>
      </c>
      <c r="AI253" s="10">
        <f t="shared" si="198"/>
        <v>8.8223338625329966</v>
      </c>
      <c r="AJ253" s="10">
        <f t="shared" si="198"/>
        <v>8.7767117708713016</v>
      </c>
      <c r="AK253" s="10">
        <f t="shared" si="198"/>
        <v>8.7319189111216016</v>
      </c>
      <c r="AL253" s="10">
        <f t="shared" si="198"/>
        <v>8.6886566499345754</v>
      </c>
      <c r="AM253" s="10">
        <f t="shared" si="198"/>
        <v>8.4860619638469181</v>
      </c>
      <c r="AN253" s="10">
        <f t="shared" si="198"/>
        <v>8.3138304830102232</v>
      </c>
      <c r="AO253" s="6">
        <f t="shared" si="199"/>
        <v>8.3138304830102232</v>
      </c>
      <c r="AP253" s="6">
        <f t="shared" si="199"/>
        <v>8.3138304830102232</v>
      </c>
      <c r="AQ253" s="6"/>
      <c r="AR253" s="6"/>
      <c r="AS253" s="6"/>
      <c r="AT253" s="6"/>
      <c r="AU253" s="6"/>
      <c r="AV253" s="6"/>
    </row>
    <row r="254" spans="1:48" s="4" customFormat="1">
      <c r="A254" s="4" t="s">
        <v>125</v>
      </c>
      <c r="B254" s="22" t="str">
        <f t="shared" si="192"/>
        <v>COM_PROJ</v>
      </c>
      <c r="C254" s="23" t="str">
        <f t="shared" si="193"/>
        <v>-</v>
      </c>
      <c r="D254" s="22" t="str">
        <f>COM!B168</f>
        <v>CEG</v>
      </c>
      <c r="E254" s="23" t="str">
        <f t="shared" si="194"/>
        <v>-</v>
      </c>
      <c r="F254" s="23" t="str">
        <f t="shared" si="194"/>
        <v>-</v>
      </c>
      <c r="G254" s="23" t="str">
        <f t="shared" si="194"/>
        <v>-</v>
      </c>
      <c r="H254" s="23" t="str">
        <f t="shared" si="194"/>
        <v>-</v>
      </c>
      <c r="I254" s="22">
        <f t="shared" si="195"/>
        <v>0</v>
      </c>
      <c r="J254" s="10">
        <f t="shared" si="196"/>
        <v>10.30055287377321</v>
      </c>
      <c r="K254" s="10">
        <f t="shared" si="196"/>
        <v>10.023810698880988</v>
      </c>
      <c r="L254" s="10">
        <f t="shared" si="196"/>
        <v>9.7692144888562282</v>
      </c>
      <c r="M254" s="10">
        <f t="shared" si="196"/>
        <v>9.4922975350634147</v>
      </c>
      <c r="N254" s="10">
        <f t="shared" si="196"/>
        <v>9.2036100085703758</v>
      </c>
      <c r="O254" s="10">
        <f t="shared" si="196"/>
        <v>8.8711579824850144</v>
      </c>
      <c r="P254" s="10">
        <f t="shared" si="196"/>
        <v>8.9283467453532221</v>
      </c>
      <c r="Q254" s="10">
        <f t="shared" si="196"/>
        <v>8.995453942310931</v>
      </c>
      <c r="R254" s="10">
        <f t="shared" si="196"/>
        <v>8.995453942310931</v>
      </c>
      <c r="S254" s="10">
        <f t="shared" si="196"/>
        <v>8.9064866037315635</v>
      </c>
      <c r="T254" s="10">
        <f t="shared" si="197"/>
        <v>8.8115940418649217</v>
      </c>
      <c r="U254" s="10">
        <f t="shared" si="197"/>
        <v>8.7117357729933609</v>
      </c>
      <c r="V254" s="10">
        <f t="shared" si="197"/>
        <v>8.6058062983504389</v>
      </c>
      <c r="W254" s="10">
        <f t="shared" si="197"/>
        <v>8.4985659341647377</v>
      </c>
      <c r="X254" s="10">
        <f t="shared" si="197"/>
        <v>8.4003494140227186</v>
      </c>
      <c r="Y254" s="10">
        <f t="shared" si="197"/>
        <v>8.2960467074499018</v>
      </c>
      <c r="Z254" s="10">
        <f t="shared" si="197"/>
        <v>8.1905789141258705</v>
      </c>
      <c r="AA254" s="10">
        <f t="shared" si="197"/>
        <v>8.0827029228202978</v>
      </c>
      <c r="AB254" s="10">
        <f t="shared" si="197"/>
        <v>7.9720557571069373</v>
      </c>
      <c r="AC254" s="10">
        <f t="shared" si="197"/>
        <v>8.0714154114576537</v>
      </c>
      <c r="AD254" s="10">
        <f t="shared" si="198"/>
        <v>8.1677890477388999</v>
      </c>
      <c r="AE254" s="10">
        <f t="shared" si="198"/>
        <v>8.271689453842189</v>
      </c>
      <c r="AF254" s="10">
        <f t="shared" si="198"/>
        <v>8.3814128149601359</v>
      </c>
      <c r="AG254" s="10">
        <f t="shared" si="198"/>
        <v>8.4963330227553868</v>
      </c>
      <c r="AH254" s="10">
        <f t="shared" si="198"/>
        <v>8.6146712672017376</v>
      </c>
      <c r="AI254" s="10">
        <f t="shared" si="198"/>
        <v>8.7358233242822223</v>
      </c>
      <c r="AJ254" s="10">
        <f t="shared" si="198"/>
        <v>8.8570867495522378</v>
      </c>
      <c r="AK254" s="10">
        <f t="shared" si="198"/>
        <v>8.9813058571802991</v>
      </c>
      <c r="AL254" s="10">
        <f t="shared" si="198"/>
        <v>9.1109805715011518</v>
      </c>
      <c r="AM254" s="10">
        <f t="shared" si="198"/>
        <v>9.8082451357322569</v>
      </c>
      <c r="AN254" s="10">
        <f t="shared" si="198"/>
        <v>10.613735141840381</v>
      </c>
      <c r="AO254" s="6">
        <f t="shared" si="199"/>
        <v>10.613735141840381</v>
      </c>
      <c r="AP254" s="6">
        <f t="shared" si="199"/>
        <v>10.613735141840381</v>
      </c>
      <c r="AQ254" s="6"/>
      <c r="AR254" s="6"/>
      <c r="AS254" s="6"/>
      <c r="AT254" s="6"/>
      <c r="AU254" s="6"/>
      <c r="AV254" s="6"/>
    </row>
    <row r="255" spans="1:48" s="4" customFormat="1">
      <c r="B255" s="22" t="str">
        <f t="shared" si="192"/>
        <v>COM_PROJ</v>
      </c>
      <c r="C255" s="23" t="str">
        <f t="shared" si="193"/>
        <v>-</v>
      </c>
      <c r="D255" s="22" t="str">
        <f>COM!B169</f>
        <v>CET</v>
      </c>
      <c r="E255" s="23" t="str">
        <f t="shared" si="194"/>
        <v>-</v>
      </c>
      <c r="F255" s="23" t="str">
        <f t="shared" si="194"/>
        <v>-</v>
      </c>
      <c r="G255" s="23" t="str">
        <f t="shared" si="194"/>
        <v>-</v>
      </c>
      <c r="H255" s="23" t="str">
        <f t="shared" si="194"/>
        <v>-</v>
      </c>
      <c r="I255" s="22">
        <f t="shared" si="195"/>
        <v>0</v>
      </c>
      <c r="J255" s="10">
        <f t="shared" si="196"/>
        <v>3.5593512487513528</v>
      </c>
      <c r="K255" s="10">
        <f t="shared" si="196"/>
        <v>3.4637231190911666</v>
      </c>
      <c r="L255" s="10">
        <f t="shared" si="196"/>
        <v>3.3757475172779561</v>
      </c>
      <c r="M255" s="10">
        <f t="shared" si="196"/>
        <v>3.2800589928500612</v>
      </c>
      <c r="N255" s="10">
        <f t="shared" si="196"/>
        <v>3.1803031525069465</v>
      </c>
      <c r="O255" s="10">
        <f t="shared" si="196"/>
        <v>3.0654245097100388</v>
      </c>
      <c r="P255" s="10">
        <f t="shared" si="196"/>
        <v>3.0851860600873766</v>
      </c>
      <c r="Q255" s="10">
        <f t="shared" si="196"/>
        <v>3.1083749207455065</v>
      </c>
      <c r="R255" s="10">
        <f t="shared" si="196"/>
        <v>3.1083749207455065</v>
      </c>
      <c r="S255" s="10">
        <f t="shared" si="196"/>
        <v>3.0776322983298847</v>
      </c>
      <c r="T255" s="10">
        <f t="shared" si="197"/>
        <v>3.044842217766615</v>
      </c>
      <c r="U255" s="10">
        <f t="shared" si="197"/>
        <v>3.0103362394602344</v>
      </c>
      <c r="V255" s="10">
        <f t="shared" si="197"/>
        <v>2.973732358826811</v>
      </c>
      <c r="W255" s="10">
        <f t="shared" si="197"/>
        <v>2.936675500922338</v>
      </c>
      <c r="X255" s="10">
        <f t="shared" si="197"/>
        <v>2.9027368281249188</v>
      </c>
      <c r="Y255" s="10">
        <f t="shared" si="197"/>
        <v>2.8666950764405636</v>
      </c>
      <c r="Z255" s="10">
        <f t="shared" si="197"/>
        <v>2.8302507295718859</v>
      </c>
      <c r="AA255" s="10">
        <f t="shared" si="197"/>
        <v>2.7929742310121419</v>
      </c>
      <c r="AB255" s="10">
        <f t="shared" si="197"/>
        <v>2.7547401544262726</v>
      </c>
      <c r="AC255" s="10">
        <f t="shared" si="197"/>
        <v>2.7890738367171699</v>
      </c>
      <c r="AD255" s="10">
        <f t="shared" si="198"/>
        <v>2.8223757018546975</v>
      </c>
      <c r="AE255" s="10">
        <f t="shared" si="198"/>
        <v>2.8582784387991516</v>
      </c>
      <c r="AF255" s="10">
        <f t="shared" si="198"/>
        <v>2.8961932951372749</v>
      </c>
      <c r="AG255" s="10">
        <f t="shared" si="198"/>
        <v>2.9359039194246632</v>
      </c>
      <c r="AH255" s="10">
        <f t="shared" si="198"/>
        <v>2.9767956446851227</v>
      </c>
      <c r="AI255" s="10">
        <f t="shared" si="198"/>
        <v>3.0186596815909641</v>
      </c>
      <c r="AJ255" s="10">
        <f t="shared" si="198"/>
        <v>3.0605622017228367</v>
      </c>
      <c r="AK255" s="10">
        <f t="shared" si="198"/>
        <v>3.1034860565171236</v>
      </c>
      <c r="AL255" s="10">
        <f t="shared" si="198"/>
        <v>3.1482950936635277</v>
      </c>
      <c r="AM255" s="10">
        <f t="shared" si="198"/>
        <v>3.3892345391301024</v>
      </c>
      <c r="AN255" s="10">
        <f t="shared" si="198"/>
        <v>3.6675712356386527</v>
      </c>
      <c r="AO255" s="6">
        <f t="shared" si="199"/>
        <v>3.6675712356386527</v>
      </c>
      <c r="AP255" s="6">
        <f t="shared" si="199"/>
        <v>3.6675712356386527</v>
      </c>
      <c r="AQ255" s="6"/>
      <c r="AR255" s="6"/>
      <c r="AS255" s="6"/>
      <c r="AT255" s="6"/>
      <c r="AU255" s="6"/>
      <c r="AV255" s="6"/>
    </row>
    <row r="256" spans="1:48" s="4" customFormat="1">
      <c r="B256" s="22" t="str">
        <f t="shared" si="192"/>
        <v>COM_PROJ</v>
      </c>
      <c r="C256" s="23" t="str">
        <f t="shared" si="193"/>
        <v>-</v>
      </c>
      <c r="D256" s="22" t="str">
        <f>COM!B170</f>
        <v>CEO</v>
      </c>
      <c r="E256" s="23" t="str">
        <f t="shared" si="194"/>
        <v>-</v>
      </c>
      <c r="F256" s="23" t="str">
        <f t="shared" si="194"/>
        <v>-</v>
      </c>
      <c r="G256" s="23" t="str">
        <f t="shared" si="194"/>
        <v>-</v>
      </c>
      <c r="H256" s="23" t="str">
        <f t="shared" si="194"/>
        <v>-</v>
      </c>
      <c r="I256" s="22">
        <f t="shared" si="195"/>
        <v>0</v>
      </c>
      <c r="J256" s="10">
        <f t="shared" si="196"/>
        <v>18.760184357078931</v>
      </c>
      <c r="K256" s="10">
        <f t="shared" si="196"/>
        <v>18.418479080845469</v>
      </c>
      <c r="L256" s="10">
        <f t="shared" si="196"/>
        <v>18.120961991998936</v>
      </c>
      <c r="M256" s="10">
        <f t="shared" si="196"/>
        <v>17.785935979440417</v>
      </c>
      <c r="N256" s="10">
        <f t="shared" si="196"/>
        <v>17.432555568363497</v>
      </c>
      <c r="O256" s="10">
        <f t="shared" si="196"/>
        <v>16.999241745794041</v>
      </c>
      <c r="P256" s="10">
        <f t="shared" si="196"/>
        <v>16.885165257262866</v>
      </c>
      <c r="Q256" s="10">
        <f t="shared" si="196"/>
        <v>16.774889982939797</v>
      </c>
      <c r="R256" s="10">
        <f t="shared" si="196"/>
        <v>16.638896048973443</v>
      </c>
      <c r="S256" s="10">
        <f t="shared" si="196"/>
        <v>16.125004926462807</v>
      </c>
      <c r="T256" s="10">
        <f t="shared" si="197"/>
        <v>15.615295865301368</v>
      </c>
      <c r="U256" s="10">
        <f t="shared" si="197"/>
        <v>15.110144829414189</v>
      </c>
      <c r="V256" s="10">
        <f t="shared" si="197"/>
        <v>14.609146297283422</v>
      </c>
      <c r="W256" s="10">
        <f t="shared" si="197"/>
        <v>14.114091388894838</v>
      </c>
      <c r="X256" s="10">
        <f t="shared" si="197"/>
        <v>13.628790287403023</v>
      </c>
      <c r="Y256" s="10">
        <f t="shared" si="197"/>
        <v>13.14759228718993</v>
      </c>
      <c r="Z256" s="10">
        <f t="shared" si="197"/>
        <v>12.672309223842754</v>
      </c>
      <c r="AA256" s="10">
        <f t="shared" si="197"/>
        <v>12.202466924550164</v>
      </c>
      <c r="AB256" s="10">
        <f t="shared" si="197"/>
        <v>11.737919579165389</v>
      </c>
      <c r="AC256" s="10">
        <f t="shared" si="197"/>
        <v>11.671623501043307</v>
      </c>
      <c r="AD256" s="10">
        <f t="shared" si="198"/>
        <v>11.604254563201549</v>
      </c>
      <c r="AE256" s="10">
        <f t="shared" si="198"/>
        <v>11.539589951982558</v>
      </c>
      <c r="AF256" s="10">
        <f t="shared" si="198"/>
        <v>11.477017496182382</v>
      </c>
      <c r="AG256" s="10">
        <f t="shared" si="198"/>
        <v>11.41631223855037</v>
      </c>
      <c r="AH256" s="10">
        <f t="shared" si="198"/>
        <v>11.356835062516668</v>
      </c>
      <c r="AI256" s="10">
        <f t="shared" si="198"/>
        <v>11.298368873745483</v>
      </c>
      <c r="AJ256" s="10">
        <f t="shared" si="198"/>
        <v>11.239942698946694</v>
      </c>
      <c r="AK256" s="10">
        <f t="shared" si="198"/>
        <v>11.182578484414829</v>
      </c>
      <c r="AL256" s="10">
        <f t="shared" si="198"/>
        <v>11.127174439088551</v>
      </c>
      <c r="AM256" s="10">
        <f t="shared" si="198"/>
        <v>10.867720474758322</v>
      </c>
      <c r="AN256" s="10">
        <f t="shared" si="198"/>
        <v>10.647151311033008</v>
      </c>
      <c r="AO256" s="6">
        <f t="shared" si="199"/>
        <v>10.647151311033008</v>
      </c>
      <c r="AP256" s="6">
        <f t="shared" si="199"/>
        <v>10.647151311033008</v>
      </c>
      <c r="AQ256" s="6"/>
      <c r="AR256" s="6"/>
      <c r="AS256" s="6"/>
      <c r="AT256" s="6"/>
      <c r="AU256" s="6"/>
      <c r="AV256" s="6"/>
    </row>
    <row r="257" spans="1:48" s="4" customFormat="1">
      <c r="A257" s="4" t="s">
        <v>16</v>
      </c>
      <c r="B257" s="22"/>
      <c r="C257" s="23" t="str">
        <f t="shared" si="193"/>
        <v/>
      </c>
      <c r="D257" s="22"/>
      <c r="E257" s="23" t="str">
        <f t="shared" si="194"/>
        <v/>
      </c>
      <c r="F257" s="23" t="str">
        <f t="shared" si="194"/>
        <v/>
      </c>
      <c r="G257" s="23"/>
      <c r="H257" s="23" t="str">
        <f t="shared" si="194"/>
        <v/>
      </c>
      <c r="I257" s="22" t="str">
        <f t="shared" si="195"/>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6">
        <f t="shared" si="199"/>
        <v>0</v>
      </c>
      <c r="AP257" s="6">
        <f t="shared" si="199"/>
        <v>0</v>
      </c>
      <c r="AQ257" s="6"/>
      <c r="AR257" s="6"/>
      <c r="AS257" s="6"/>
      <c r="AT257" s="6"/>
      <c r="AU257" s="6"/>
      <c r="AV257" s="6"/>
    </row>
    <row r="258" spans="1:48" s="266" customFormat="1">
      <c r="B258" s="267" t="str">
        <f t="shared" ref="B258:B266" si="200">IF(A258="*","","COM_PROJ")</f>
        <v>COM_PROJ</v>
      </c>
      <c r="C258" s="267" t="str">
        <f t="shared" si="193"/>
        <v>-</v>
      </c>
      <c r="D258" s="267" t="str">
        <f>COM!B174</f>
        <v>CNC</v>
      </c>
      <c r="E258" s="267" t="str">
        <f t="shared" si="194"/>
        <v>-</v>
      </c>
      <c r="F258" s="267" t="str">
        <f t="shared" si="194"/>
        <v>-</v>
      </c>
      <c r="G258" s="267" t="str">
        <f t="shared" si="194"/>
        <v>-</v>
      </c>
      <c r="H258" s="267" t="str">
        <f t="shared" si="194"/>
        <v>-</v>
      </c>
      <c r="I258" s="267">
        <f t="shared" si="195"/>
        <v>0</v>
      </c>
      <c r="J258" s="268">
        <f t="shared" ref="J258:S266" si="201">INDEX($J$220:$AV$228,MATCH($D258,$B$220:$B$228,0),MATCH(J$247,$J$104:$AV$104,0))</f>
        <v>0</v>
      </c>
      <c r="K258" s="268">
        <f t="shared" si="201"/>
        <v>0</v>
      </c>
      <c r="L258" s="268">
        <f t="shared" si="201"/>
        <v>0</v>
      </c>
      <c r="M258" s="268">
        <f t="shared" si="201"/>
        <v>0</v>
      </c>
      <c r="N258" s="268">
        <f t="shared" si="201"/>
        <v>0</v>
      </c>
      <c r="O258" s="268">
        <f t="shared" si="201"/>
        <v>0</v>
      </c>
      <c r="P258" s="268">
        <f t="shared" si="201"/>
        <v>1.5826011087333609</v>
      </c>
      <c r="Q258" s="268">
        <f t="shared" si="201"/>
        <v>3.2727888378763019</v>
      </c>
      <c r="R258" s="268">
        <f t="shared" si="201"/>
        <v>4.2350555604682834</v>
      </c>
      <c r="S258" s="268">
        <f t="shared" si="201"/>
        <v>6.0488138591626592</v>
      </c>
      <c r="T258" s="268">
        <f t="shared" ref="T258:AC266" si="202">INDEX($J$220:$AV$228,MATCH($D258,$B$220:$B$228,0),MATCH(T$247,$J$104:$AV$104,0))</f>
        <v>7.7403712998837166</v>
      </c>
      <c r="U258" s="268">
        <f t="shared" si="202"/>
        <v>9.3203688741353421</v>
      </c>
      <c r="V258" s="268">
        <f t="shared" si="202"/>
        <v>10.777329015219186</v>
      </c>
      <c r="W258" s="268">
        <f t="shared" si="202"/>
        <v>12.16194619481365</v>
      </c>
      <c r="X258" s="268">
        <f t="shared" si="202"/>
        <v>13.582060883437038</v>
      </c>
      <c r="Y258" s="268">
        <f t="shared" si="202"/>
        <v>14.877739889458754</v>
      </c>
      <c r="Z258" s="268">
        <f t="shared" si="202"/>
        <v>16.100264002882231</v>
      </c>
      <c r="AA258" s="268">
        <f t="shared" si="202"/>
        <v>17.236212604013634</v>
      </c>
      <c r="AB258" s="268">
        <f t="shared" si="202"/>
        <v>18.28145879548449</v>
      </c>
      <c r="AC258" s="268">
        <f t="shared" si="202"/>
        <v>19.996245125845302</v>
      </c>
      <c r="AD258" s="268">
        <f t="shared" ref="AD258:AN266" si="203">INDEX($J$220:$AV$228,MATCH($D258,$B$220:$B$228,0),MATCH(AD$247,$J$104:$AV$104,0))</f>
        <v>21.680969720233577</v>
      </c>
      <c r="AE258" s="268">
        <f t="shared" si="203"/>
        <v>23.441470067431219</v>
      </c>
      <c r="AF258" s="268">
        <f t="shared" si="203"/>
        <v>25.26059301240225</v>
      </c>
      <c r="AG258" s="268">
        <f t="shared" si="203"/>
        <v>27.1320352096579</v>
      </c>
      <c r="AH258" s="268">
        <f t="shared" si="203"/>
        <v>29.037888489820382</v>
      </c>
      <c r="AI258" s="268">
        <f t="shared" si="203"/>
        <v>30.972069827789475</v>
      </c>
      <c r="AJ258" s="268">
        <f t="shared" si="203"/>
        <v>32.907372364971572</v>
      </c>
      <c r="AK258" s="268">
        <f t="shared" si="203"/>
        <v>34.872431233361006</v>
      </c>
      <c r="AL258" s="268">
        <f t="shared" si="203"/>
        <v>36.892414420409338</v>
      </c>
      <c r="AM258" s="268">
        <f>INDEX($J$220:$AV$228,MATCH($D258,$B$220:$B$228,0),MATCH(AM$247,$J$104:$AV$104,0))</f>
        <v>47.272697888738946</v>
      </c>
      <c r="AN258" s="268">
        <f t="shared" si="203"/>
        <v>58.720749766990238</v>
      </c>
      <c r="AO258" s="269">
        <f t="shared" si="199"/>
        <v>58.720749766990238</v>
      </c>
      <c r="AP258" s="269">
        <f t="shared" si="199"/>
        <v>58.720749766990238</v>
      </c>
      <c r="AQ258" s="269"/>
      <c r="AR258" s="269"/>
      <c r="AS258" s="269"/>
      <c r="AT258" s="269"/>
      <c r="AU258" s="269"/>
      <c r="AV258" s="269"/>
    </row>
    <row r="259" spans="1:48" s="4" customFormat="1">
      <c r="B259" s="22" t="str">
        <f t="shared" si="200"/>
        <v>COM_PROJ</v>
      </c>
      <c r="C259" s="23" t="str">
        <f t="shared" si="193"/>
        <v>-</v>
      </c>
      <c r="D259" s="22" t="str">
        <f>COM!B175</f>
        <v>CNH</v>
      </c>
      <c r="E259" s="23" t="str">
        <f t="shared" si="194"/>
        <v>-</v>
      </c>
      <c r="F259" s="23" t="str">
        <f t="shared" si="194"/>
        <v>-</v>
      </c>
      <c r="G259" s="23" t="str">
        <f t="shared" si="194"/>
        <v>-</v>
      </c>
      <c r="H259" s="23" t="str">
        <f t="shared" si="194"/>
        <v>-</v>
      </c>
      <c r="I259" s="22">
        <f t="shared" si="195"/>
        <v>0</v>
      </c>
      <c r="J259" s="10">
        <f t="shared" si="201"/>
        <v>0</v>
      </c>
      <c r="K259" s="10">
        <f t="shared" si="201"/>
        <v>0</v>
      </c>
      <c r="L259" s="10">
        <f t="shared" si="201"/>
        <v>0</v>
      </c>
      <c r="M259" s="10">
        <f t="shared" si="201"/>
        <v>0</v>
      </c>
      <c r="N259" s="10">
        <f t="shared" si="201"/>
        <v>0</v>
      </c>
      <c r="O259" s="10">
        <f t="shared" si="201"/>
        <v>0</v>
      </c>
      <c r="P259" s="10">
        <f t="shared" si="201"/>
        <v>0.15092687254753431</v>
      </c>
      <c r="Q259" s="10">
        <f t="shared" si="201"/>
        <v>0.31211388712123755</v>
      </c>
      <c r="R259" s="10">
        <f t="shared" si="201"/>
        <v>0.40388174081218448</v>
      </c>
      <c r="S259" s="10">
        <f t="shared" si="201"/>
        <v>0.57685322811145179</v>
      </c>
      <c r="T259" s="10">
        <f t="shared" si="202"/>
        <v>0.73817086706272961</v>
      </c>
      <c r="U259" s="10">
        <f t="shared" si="202"/>
        <v>0.88884945006040228</v>
      </c>
      <c r="V259" s="10">
        <f t="shared" si="202"/>
        <v>1.0277944035971733</v>
      </c>
      <c r="W259" s="10">
        <f t="shared" si="202"/>
        <v>1.1598402738032385</v>
      </c>
      <c r="X259" s="10">
        <f t="shared" si="202"/>
        <v>1.2952714114600838</v>
      </c>
      <c r="Y259" s="10">
        <f t="shared" si="202"/>
        <v>1.4188355737276477</v>
      </c>
      <c r="Z259" s="10">
        <f t="shared" si="202"/>
        <v>1.5354232217677954</v>
      </c>
      <c r="AA259" s="10">
        <f t="shared" si="202"/>
        <v>1.6437544802241517</v>
      </c>
      <c r="AB259" s="10">
        <f t="shared" si="202"/>
        <v>1.743435782006618</v>
      </c>
      <c r="AC259" s="10">
        <f t="shared" si="202"/>
        <v>1.9069686751029447</v>
      </c>
      <c r="AD259" s="10">
        <f t="shared" si="203"/>
        <v>2.0676346905200838</v>
      </c>
      <c r="AE259" s="10">
        <f t="shared" si="203"/>
        <v>2.2355271620058694</v>
      </c>
      <c r="AF259" s="10">
        <f t="shared" si="203"/>
        <v>2.4090102559761992</v>
      </c>
      <c r="AG259" s="10">
        <f t="shared" si="203"/>
        <v>2.5874828454534939</v>
      </c>
      <c r="AH259" s="10">
        <f t="shared" si="203"/>
        <v>2.7692370939005966</v>
      </c>
      <c r="AI259" s="10">
        <f t="shared" si="203"/>
        <v>2.9536928854886106</v>
      </c>
      <c r="AJ259" s="10">
        <f t="shared" si="203"/>
        <v>3.138255601739945</v>
      </c>
      <c r="AK259" s="10">
        <f t="shared" si="203"/>
        <v>3.3256560703363447</v>
      </c>
      <c r="AL259" s="10">
        <f t="shared" si="203"/>
        <v>3.5182944700805541</v>
      </c>
      <c r="AM259" s="10">
        <f t="shared" si="203"/>
        <v>4.5082240937781792</v>
      </c>
      <c r="AN259" s="10">
        <f t="shared" si="203"/>
        <v>5.5999828807597307</v>
      </c>
      <c r="AO259" s="6">
        <f t="shared" si="199"/>
        <v>5.5999828807597307</v>
      </c>
      <c r="AP259" s="6">
        <f t="shared" si="199"/>
        <v>5.5999828807597307</v>
      </c>
      <c r="AQ259" s="6"/>
      <c r="AR259" s="6"/>
      <c r="AS259" s="6"/>
      <c r="AT259" s="6"/>
      <c r="AU259" s="6"/>
      <c r="AV259" s="6"/>
    </row>
    <row r="260" spans="1:48" s="4" customFormat="1">
      <c r="B260" s="22" t="str">
        <f t="shared" si="200"/>
        <v>COM_PROJ</v>
      </c>
      <c r="C260" s="23" t="str">
        <f t="shared" si="193"/>
        <v>-</v>
      </c>
      <c r="D260" s="22" t="str">
        <f>COM!B176</f>
        <v>CNK</v>
      </c>
      <c r="E260" s="23" t="str">
        <f t="shared" si="194"/>
        <v>-</v>
      </c>
      <c r="F260" s="23" t="str">
        <f t="shared" si="194"/>
        <v>-</v>
      </c>
      <c r="G260" s="23" t="str">
        <f t="shared" si="194"/>
        <v>-</v>
      </c>
      <c r="H260" s="23" t="str">
        <f t="shared" si="194"/>
        <v>-</v>
      </c>
      <c r="I260" s="22">
        <f t="shared" si="195"/>
        <v>0</v>
      </c>
      <c r="J260" s="10">
        <f t="shared" si="201"/>
        <v>0</v>
      </c>
      <c r="K260" s="10">
        <f t="shared" si="201"/>
        <v>0</v>
      </c>
      <c r="L260" s="10">
        <f t="shared" si="201"/>
        <v>0</v>
      </c>
      <c r="M260" s="10">
        <f t="shared" si="201"/>
        <v>0</v>
      </c>
      <c r="N260" s="10">
        <f t="shared" si="201"/>
        <v>0</v>
      </c>
      <c r="O260" s="10">
        <f t="shared" si="201"/>
        <v>0</v>
      </c>
      <c r="P260" s="10">
        <f t="shared" si="201"/>
        <v>0.1128855701047503</v>
      </c>
      <c r="Q260" s="10">
        <f t="shared" si="201"/>
        <v>0.23344520091472726</v>
      </c>
      <c r="R260" s="10">
        <f t="shared" si="201"/>
        <v>0.30208285507355981</v>
      </c>
      <c r="S260" s="10">
        <f t="shared" si="201"/>
        <v>0.43145666787482001</v>
      </c>
      <c r="T260" s="10">
        <f t="shared" si="202"/>
        <v>0.55211399902856739</v>
      </c>
      <c r="U260" s="10">
        <f t="shared" si="202"/>
        <v>0.66481386126755415</v>
      </c>
      <c r="V260" s="10">
        <f t="shared" si="202"/>
        <v>0.76873756967300377</v>
      </c>
      <c r="W260" s="10">
        <f t="shared" si="202"/>
        <v>0.867501117122083</v>
      </c>
      <c r="X260" s="10">
        <f t="shared" si="202"/>
        <v>0.96879667122900903</v>
      </c>
      <c r="Y260" s="10">
        <f t="shared" si="202"/>
        <v>1.0612163355780249</v>
      </c>
      <c r="Z260" s="10">
        <f t="shared" si="202"/>
        <v>1.148417924625986</v>
      </c>
      <c r="AA260" s="10">
        <f t="shared" si="202"/>
        <v>1.2294441571622712</v>
      </c>
      <c r="AB260" s="10">
        <f t="shared" si="202"/>
        <v>1.3040006651622194</v>
      </c>
      <c r="AC260" s="10">
        <f t="shared" si="202"/>
        <v>1.4263148929498779</v>
      </c>
      <c r="AD260" s="10">
        <f t="shared" si="203"/>
        <v>1.5464848430766198</v>
      </c>
      <c r="AE260" s="10">
        <f t="shared" si="203"/>
        <v>1.672059812199493</v>
      </c>
      <c r="AF260" s="10">
        <f t="shared" si="203"/>
        <v>1.8018162805859215</v>
      </c>
      <c r="AG260" s="10">
        <f t="shared" si="203"/>
        <v>1.9353046360467441</v>
      </c>
      <c r="AH260" s="10">
        <f t="shared" si="203"/>
        <v>2.0712475043285314</v>
      </c>
      <c r="AI260" s="10">
        <f t="shared" si="203"/>
        <v>2.2092109885051348</v>
      </c>
      <c r="AJ260" s="10">
        <f t="shared" si="203"/>
        <v>2.3472544468531593</v>
      </c>
      <c r="AK260" s="10">
        <f t="shared" si="203"/>
        <v>2.4874203986039927</v>
      </c>
      <c r="AL260" s="10">
        <f t="shared" si="203"/>
        <v>2.6315040545635564</v>
      </c>
      <c r="AM260" s="10">
        <f t="shared" si="203"/>
        <v>3.3719207083273988</v>
      </c>
      <c r="AN260" s="10">
        <f t="shared" si="203"/>
        <v>4.188500360479587</v>
      </c>
      <c r="AO260" s="6">
        <f t="shared" si="199"/>
        <v>4.188500360479587</v>
      </c>
      <c r="AP260" s="6">
        <f t="shared" si="199"/>
        <v>4.188500360479587</v>
      </c>
      <c r="AQ260" s="6"/>
      <c r="AR260" s="6"/>
      <c r="AS260" s="6"/>
      <c r="AT260" s="6"/>
      <c r="AU260" s="6"/>
      <c r="AV260" s="6"/>
    </row>
    <row r="261" spans="1:48" s="266" customFormat="1">
      <c r="B261" s="267" t="str">
        <f t="shared" si="200"/>
        <v>COM_PROJ</v>
      </c>
      <c r="C261" s="267" t="str">
        <f t="shared" si="193"/>
        <v>-</v>
      </c>
      <c r="D261" s="267" t="str">
        <f>COM!B177</f>
        <v>CNL</v>
      </c>
      <c r="E261" s="267" t="str">
        <f t="shared" si="194"/>
        <v>-</v>
      </c>
      <c r="F261" s="267" t="str">
        <f t="shared" si="194"/>
        <v>-</v>
      </c>
      <c r="G261" s="267" t="str">
        <f t="shared" si="194"/>
        <v>-</v>
      </c>
      <c r="H261" s="267" t="str">
        <f t="shared" si="194"/>
        <v>-</v>
      </c>
      <c r="I261" s="267">
        <f t="shared" si="195"/>
        <v>0</v>
      </c>
      <c r="J261" s="268">
        <f t="shared" si="201"/>
        <v>0</v>
      </c>
      <c r="K261" s="268">
        <f t="shared" si="201"/>
        <v>0</v>
      </c>
      <c r="L261" s="268">
        <f t="shared" si="201"/>
        <v>0</v>
      </c>
      <c r="M261" s="268">
        <f t="shared" si="201"/>
        <v>0</v>
      </c>
      <c r="N261" s="268">
        <f t="shared" si="201"/>
        <v>0</v>
      </c>
      <c r="O261" s="268">
        <f t="shared" si="201"/>
        <v>0</v>
      </c>
      <c r="P261" s="268">
        <f t="shared" si="201"/>
        <v>1.3772283906971867</v>
      </c>
      <c r="Q261" s="268">
        <f t="shared" si="201"/>
        <v>2.848081983139509</v>
      </c>
      <c r="R261" s="268">
        <f t="shared" si="201"/>
        <v>3.6854762213107977</v>
      </c>
      <c r="S261" s="268">
        <f t="shared" si="201"/>
        <v>5.2638647419809068</v>
      </c>
      <c r="T261" s="268">
        <f t="shared" si="202"/>
        <v>6.7359102997656253</v>
      </c>
      <c r="U261" s="268">
        <f t="shared" si="202"/>
        <v>8.1108730143018271</v>
      </c>
      <c r="V261" s="268">
        <f t="shared" si="202"/>
        <v>9.3787647523663935</v>
      </c>
      <c r="W261" s="268">
        <f t="shared" si="202"/>
        <v>10.583701409785258</v>
      </c>
      <c r="X261" s="268">
        <f t="shared" si="202"/>
        <v>11.819529096512694</v>
      </c>
      <c r="Y261" s="268">
        <f t="shared" si="202"/>
        <v>12.947069006902119</v>
      </c>
      <c r="Z261" s="268">
        <f t="shared" si="202"/>
        <v>14.010947269104445</v>
      </c>
      <c r="AA261" s="268">
        <f t="shared" si="202"/>
        <v>14.999484845135242</v>
      </c>
      <c r="AB261" s="268">
        <f t="shared" si="202"/>
        <v>15.909090381374188</v>
      </c>
      <c r="AC261" s="268">
        <f t="shared" si="202"/>
        <v>17.401350436747531</v>
      </c>
      <c r="AD261" s="268">
        <f t="shared" si="203"/>
        <v>18.867449840503383</v>
      </c>
      <c r="AE261" s="268">
        <f t="shared" si="203"/>
        <v>20.399491645992448</v>
      </c>
      <c r="AF261" s="268">
        <f t="shared" si="203"/>
        <v>21.982548647631944</v>
      </c>
      <c r="AG261" s="268">
        <f t="shared" si="203"/>
        <v>23.611135479390224</v>
      </c>
      <c r="AH261" s="268">
        <f t="shared" si="203"/>
        <v>25.269667898872662</v>
      </c>
      <c r="AI261" s="268">
        <f t="shared" si="203"/>
        <v>26.952852269658106</v>
      </c>
      <c r="AJ261" s="268">
        <f t="shared" si="203"/>
        <v>28.637012342646244</v>
      </c>
      <c r="AK261" s="268">
        <f t="shared" si="203"/>
        <v>30.347067294587504</v>
      </c>
      <c r="AL261" s="268">
        <f t="shared" si="203"/>
        <v>32.104919085908762</v>
      </c>
      <c r="AM261" s="268">
        <f t="shared" si="203"/>
        <v>41.138162533785561</v>
      </c>
      <c r="AN261" s="268">
        <f t="shared" si="203"/>
        <v>51.100611048383634</v>
      </c>
      <c r="AO261" s="269">
        <f t="shared" si="199"/>
        <v>51.100611048383634</v>
      </c>
      <c r="AP261" s="269">
        <f t="shared" si="199"/>
        <v>51.100611048383634</v>
      </c>
      <c r="AQ261" s="269"/>
      <c r="AR261" s="269"/>
      <c r="AS261" s="269"/>
      <c r="AT261" s="269"/>
      <c r="AU261" s="269"/>
      <c r="AV261" s="269"/>
    </row>
    <row r="262" spans="1:48" s="4" customFormat="1">
      <c r="B262" s="22" t="str">
        <f t="shared" si="200"/>
        <v>COM_PROJ</v>
      </c>
      <c r="C262" s="23" t="str">
        <f t="shared" si="193"/>
        <v>-</v>
      </c>
      <c r="D262" s="22" t="str">
        <f>COM!B178</f>
        <v>CNR</v>
      </c>
      <c r="E262" s="23" t="str">
        <f t="shared" si="194"/>
        <v>-</v>
      </c>
      <c r="F262" s="23" t="str">
        <f t="shared" si="194"/>
        <v>-</v>
      </c>
      <c r="G262" s="23" t="str">
        <f t="shared" si="194"/>
        <v>-</v>
      </c>
      <c r="H262" s="23" t="str">
        <f t="shared" si="194"/>
        <v>-</v>
      </c>
      <c r="I262" s="22">
        <f t="shared" si="195"/>
        <v>0</v>
      </c>
      <c r="J262" s="10">
        <f t="shared" si="201"/>
        <v>0</v>
      </c>
      <c r="K262" s="10">
        <f t="shared" si="201"/>
        <v>0</v>
      </c>
      <c r="L262" s="10">
        <f t="shared" si="201"/>
        <v>0</v>
      </c>
      <c r="M262" s="10">
        <f t="shared" si="201"/>
        <v>0</v>
      </c>
      <c r="N262" s="10">
        <f t="shared" si="201"/>
        <v>0</v>
      </c>
      <c r="O262" s="10">
        <f t="shared" si="201"/>
        <v>0</v>
      </c>
      <c r="P262" s="10">
        <f t="shared" si="201"/>
        <v>0.3350302874487357</v>
      </c>
      <c r="Q262" s="10">
        <f t="shared" si="201"/>
        <v>0.69283622958553637</v>
      </c>
      <c r="R262" s="10">
        <f t="shared" si="201"/>
        <v>0.89654422327597971</v>
      </c>
      <c r="S262" s="10">
        <f t="shared" si="201"/>
        <v>1.2805095578260435</v>
      </c>
      <c r="T262" s="10">
        <f t="shared" si="202"/>
        <v>1.6386054623931785</v>
      </c>
      <c r="U262" s="10">
        <f t="shared" si="202"/>
        <v>1.9730845920669164</v>
      </c>
      <c r="V262" s="10">
        <f t="shared" si="202"/>
        <v>2.2815171921548463</v>
      </c>
      <c r="W262" s="10">
        <f t="shared" si="202"/>
        <v>2.5746350783525034</v>
      </c>
      <c r="X262" s="10">
        <f t="shared" si="202"/>
        <v>2.8752676443946563</v>
      </c>
      <c r="Y262" s="10">
        <f t="shared" si="202"/>
        <v>3.1495576770714151</v>
      </c>
      <c r="Z262" s="10">
        <f t="shared" si="202"/>
        <v>3.4083611133087937</v>
      </c>
      <c r="AA262" s="10">
        <f t="shared" si="202"/>
        <v>3.6488368619127112</v>
      </c>
      <c r="AB262" s="10">
        <f t="shared" si="202"/>
        <v>3.8701112753139801</v>
      </c>
      <c r="AC262" s="10">
        <f t="shared" si="202"/>
        <v>4.233124642361191</v>
      </c>
      <c r="AD262" s="10">
        <f t="shared" si="203"/>
        <v>4.5897740608502273</v>
      </c>
      <c r="AE262" s="10">
        <f t="shared" si="203"/>
        <v>4.9624649013408488</v>
      </c>
      <c r="AF262" s="10">
        <f t="shared" si="203"/>
        <v>5.3475659099241293</v>
      </c>
      <c r="AG262" s="10">
        <f t="shared" si="203"/>
        <v>5.7437426937203107</v>
      </c>
      <c r="AH262" s="10">
        <f t="shared" si="203"/>
        <v>6.147204165321952</v>
      </c>
      <c r="AI262" s="10">
        <f t="shared" si="203"/>
        <v>6.5566625727891399</v>
      </c>
      <c r="AJ262" s="10">
        <f t="shared" si="203"/>
        <v>6.9663583336188051</v>
      </c>
      <c r="AK262" s="10">
        <f t="shared" si="203"/>
        <v>7.3823533900465828</v>
      </c>
      <c r="AL262" s="10">
        <f t="shared" si="203"/>
        <v>7.8099757037577477</v>
      </c>
      <c r="AM262" s="10">
        <f t="shared" si="203"/>
        <v>10.00743995106718</v>
      </c>
      <c r="AN262" s="10">
        <f t="shared" si="203"/>
        <v>12.430946474810408</v>
      </c>
      <c r="AO262" s="6">
        <f t="shared" si="199"/>
        <v>12.430946474810408</v>
      </c>
      <c r="AP262" s="6">
        <f t="shared" si="199"/>
        <v>12.430946474810408</v>
      </c>
      <c r="AQ262" s="6"/>
      <c r="AR262" s="6"/>
      <c r="AS262" s="6"/>
      <c r="AT262" s="6"/>
      <c r="AU262" s="6"/>
      <c r="AV262" s="6"/>
    </row>
    <row r="263" spans="1:48" s="4" customFormat="1">
      <c r="B263" s="22" t="str">
        <f t="shared" si="200"/>
        <v>COM_PROJ</v>
      </c>
      <c r="C263" s="23" t="str">
        <f t="shared" si="193"/>
        <v>-</v>
      </c>
      <c r="D263" s="22" t="str">
        <f>COM!B179</f>
        <v>CNW</v>
      </c>
      <c r="E263" s="23" t="str">
        <f t="shared" si="194"/>
        <v>-</v>
      </c>
      <c r="F263" s="23" t="str">
        <f t="shared" si="194"/>
        <v>-</v>
      </c>
      <c r="G263" s="23" t="str">
        <f t="shared" si="194"/>
        <v>-</v>
      </c>
      <c r="H263" s="23" t="str">
        <f t="shared" si="194"/>
        <v>-</v>
      </c>
      <c r="I263" s="22">
        <f t="shared" si="195"/>
        <v>0</v>
      </c>
      <c r="J263" s="10">
        <f t="shared" si="201"/>
        <v>0</v>
      </c>
      <c r="K263" s="10">
        <f t="shared" si="201"/>
        <v>0</v>
      </c>
      <c r="L263" s="10">
        <f t="shared" si="201"/>
        <v>0</v>
      </c>
      <c r="M263" s="10">
        <f t="shared" si="201"/>
        <v>0</v>
      </c>
      <c r="N263" s="10">
        <f t="shared" si="201"/>
        <v>0</v>
      </c>
      <c r="O263" s="10">
        <f t="shared" si="201"/>
        <v>0</v>
      </c>
      <c r="P263" s="10">
        <f t="shared" si="201"/>
        <v>0.17464786244388691</v>
      </c>
      <c r="Q263" s="10">
        <f t="shared" si="201"/>
        <v>0.36116844074675197</v>
      </c>
      <c r="R263" s="10">
        <f t="shared" si="201"/>
        <v>0.46735933450650663</v>
      </c>
      <c r="S263" s="10">
        <f t="shared" si="201"/>
        <v>0.66751653653852128</v>
      </c>
      <c r="T263" s="10">
        <f t="shared" si="202"/>
        <v>0.85418826929083191</v>
      </c>
      <c r="U263" s="10">
        <f t="shared" si="202"/>
        <v>1.0285488188233827</v>
      </c>
      <c r="V263" s="10">
        <f t="shared" si="202"/>
        <v>1.1893315788644716</v>
      </c>
      <c r="W263" s="10">
        <f t="shared" si="202"/>
        <v>1.3421309351803521</v>
      </c>
      <c r="X263" s="10">
        <f t="shared" si="202"/>
        <v>1.4988476172454521</v>
      </c>
      <c r="Y263" s="10">
        <f t="shared" si="202"/>
        <v>1.6418322060760655</v>
      </c>
      <c r="Z263" s="10">
        <f t="shared" si="202"/>
        <v>1.7767437905664885</v>
      </c>
      <c r="AA263" s="10">
        <f t="shared" si="202"/>
        <v>1.9021013389334969</v>
      </c>
      <c r="AB263" s="10">
        <f t="shared" si="202"/>
        <v>2.0174494276341952</v>
      </c>
      <c r="AC263" s="10">
        <f t="shared" si="202"/>
        <v>2.2066845832857704</v>
      </c>
      <c r="AD263" s="10">
        <f t="shared" si="203"/>
        <v>2.3926022776389906</v>
      </c>
      <c r="AE263" s="10">
        <f t="shared" si="203"/>
        <v>2.5868822012236974</v>
      </c>
      <c r="AF263" s="10">
        <f t="shared" si="203"/>
        <v>2.7876314185145254</v>
      </c>
      <c r="AG263" s="10">
        <f t="shared" si="203"/>
        <v>2.9941543241502857</v>
      </c>
      <c r="AH263" s="10">
        <f t="shared" si="203"/>
        <v>3.204474663037479</v>
      </c>
      <c r="AI263" s="10">
        <f t="shared" si="203"/>
        <v>3.4179211432598509</v>
      </c>
      <c r="AJ263" s="10">
        <f t="shared" si="203"/>
        <v>3.6314913533626361</v>
      </c>
      <c r="AK263" s="10">
        <f t="shared" si="203"/>
        <v>3.8483453218369115</v>
      </c>
      <c r="AL263" s="10">
        <f t="shared" si="203"/>
        <v>4.0712604606193779</v>
      </c>
      <c r="AM263" s="10">
        <f t="shared" si="203"/>
        <v>5.216776098957542</v>
      </c>
      <c r="AN263" s="10">
        <f t="shared" si="203"/>
        <v>6.480125264233636</v>
      </c>
      <c r="AO263" s="6">
        <f t="shared" si="199"/>
        <v>6.480125264233636</v>
      </c>
      <c r="AP263" s="6">
        <f t="shared" si="199"/>
        <v>6.480125264233636</v>
      </c>
      <c r="AQ263" s="6"/>
      <c r="AR263" s="6"/>
      <c r="AS263" s="6"/>
      <c r="AT263" s="6"/>
      <c r="AU263" s="6"/>
      <c r="AV263" s="6"/>
    </row>
    <row r="264" spans="1:48" s="4" customFormat="1">
      <c r="B264" s="22" t="str">
        <f t="shared" si="200"/>
        <v>COM_PROJ</v>
      </c>
      <c r="C264" s="23" t="str">
        <f t="shared" si="193"/>
        <v>-</v>
      </c>
      <c r="D264" s="22" t="str">
        <f>COM!B180</f>
        <v>CNG</v>
      </c>
      <c r="E264" s="23" t="str">
        <f t="shared" ref="E264:H266" si="204">IF($A264="*","","-")</f>
        <v>-</v>
      </c>
      <c r="F264" s="23" t="str">
        <f t="shared" si="204"/>
        <v>-</v>
      </c>
      <c r="G264" s="23" t="str">
        <f t="shared" si="204"/>
        <v>-</v>
      </c>
      <c r="H264" s="23" t="str">
        <f t="shared" si="204"/>
        <v>-</v>
      </c>
      <c r="I264" s="22">
        <f t="shared" si="195"/>
        <v>0</v>
      </c>
      <c r="J264" s="10">
        <f t="shared" si="201"/>
        <v>0</v>
      </c>
      <c r="K264" s="10">
        <f t="shared" si="201"/>
        <v>0</v>
      </c>
      <c r="L264" s="10">
        <f t="shared" si="201"/>
        <v>0</v>
      </c>
      <c r="M264" s="10">
        <f t="shared" si="201"/>
        <v>0</v>
      </c>
      <c r="N264" s="10">
        <f t="shared" si="201"/>
        <v>0</v>
      </c>
      <c r="O264" s="10">
        <f t="shared" si="201"/>
        <v>0</v>
      </c>
      <c r="P264" s="10">
        <f t="shared" si="201"/>
        <v>0</v>
      </c>
      <c r="Q264" s="10">
        <f t="shared" si="201"/>
        <v>0</v>
      </c>
      <c r="R264" s="10">
        <f t="shared" si="201"/>
        <v>0</v>
      </c>
      <c r="S264" s="10">
        <f t="shared" si="201"/>
        <v>0</v>
      </c>
      <c r="T264" s="10">
        <f t="shared" si="202"/>
        <v>0</v>
      </c>
      <c r="U264" s="10">
        <f t="shared" si="202"/>
        <v>0</v>
      </c>
      <c r="V264" s="10">
        <f t="shared" si="202"/>
        <v>0</v>
      </c>
      <c r="W264" s="10">
        <f t="shared" si="202"/>
        <v>0</v>
      </c>
      <c r="X264" s="10">
        <f t="shared" si="202"/>
        <v>0</v>
      </c>
      <c r="Y264" s="10">
        <f t="shared" si="202"/>
        <v>0</v>
      </c>
      <c r="Z264" s="10">
        <f t="shared" si="202"/>
        <v>0</v>
      </c>
      <c r="AA264" s="10">
        <f t="shared" si="202"/>
        <v>0</v>
      </c>
      <c r="AB264" s="10">
        <f t="shared" si="202"/>
        <v>0</v>
      </c>
      <c r="AC264" s="10">
        <f t="shared" si="202"/>
        <v>0</v>
      </c>
      <c r="AD264" s="10">
        <f t="shared" si="203"/>
        <v>0</v>
      </c>
      <c r="AE264" s="10">
        <f t="shared" si="203"/>
        <v>0</v>
      </c>
      <c r="AF264" s="10">
        <f t="shared" si="203"/>
        <v>0</v>
      </c>
      <c r="AG264" s="10">
        <f t="shared" si="203"/>
        <v>0</v>
      </c>
      <c r="AH264" s="10">
        <f t="shared" si="203"/>
        <v>0</v>
      </c>
      <c r="AI264" s="10">
        <f t="shared" si="203"/>
        <v>0</v>
      </c>
      <c r="AJ264" s="10">
        <f t="shared" si="203"/>
        <v>0</v>
      </c>
      <c r="AK264" s="10">
        <f t="shared" si="203"/>
        <v>0</v>
      </c>
      <c r="AL264" s="10">
        <f t="shared" si="203"/>
        <v>0</v>
      </c>
      <c r="AM264" s="10">
        <f t="shared" si="203"/>
        <v>0</v>
      </c>
      <c r="AN264" s="10">
        <f t="shared" si="203"/>
        <v>0</v>
      </c>
      <c r="AO264" s="6">
        <f t="shared" si="199"/>
        <v>0</v>
      </c>
      <c r="AP264" s="6">
        <f t="shared" si="199"/>
        <v>0</v>
      </c>
      <c r="AQ264" s="6"/>
      <c r="AR264" s="6"/>
      <c r="AS264" s="6"/>
      <c r="AT264" s="6"/>
      <c r="AU264" s="6"/>
      <c r="AV264" s="6"/>
    </row>
    <row r="265" spans="1:48" s="4" customFormat="1">
      <c r="B265" s="22" t="str">
        <f t="shared" si="200"/>
        <v>COM_PROJ</v>
      </c>
      <c r="C265" s="23" t="str">
        <f t="shared" si="193"/>
        <v>-</v>
      </c>
      <c r="D265" s="22" t="str">
        <f>COM!B181</f>
        <v>CNT</v>
      </c>
      <c r="E265" s="23" t="str">
        <f t="shared" si="204"/>
        <v>-</v>
      </c>
      <c r="F265" s="23" t="str">
        <f t="shared" si="204"/>
        <v>-</v>
      </c>
      <c r="G265" s="23" t="str">
        <f t="shared" si="204"/>
        <v>-</v>
      </c>
      <c r="H265" s="23" t="str">
        <f t="shared" si="204"/>
        <v>-</v>
      </c>
      <c r="I265" s="22">
        <f t="shared" si="195"/>
        <v>0</v>
      </c>
      <c r="J265" s="10">
        <f t="shared" si="201"/>
        <v>0</v>
      </c>
      <c r="K265" s="10">
        <f t="shared" si="201"/>
        <v>0</v>
      </c>
      <c r="L265" s="10">
        <f t="shared" si="201"/>
        <v>0</v>
      </c>
      <c r="M265" s="10">
        <f t="shared" si="201"/>
        <v>0</v>
      </c>
      <c r="N265" s="10">
        <f t="shared" si="201"/>
        <v>0</v>
      </c>
      <c r="O265" s="10">
        <f t="shared" si="201"/>
        <v>0</v>
      </c>
      <c r="P265" s="10">
        <f t="shared" si="201"/>
        <v>0</v>
      </c>
      <c r="Q265" s="10">
        <f t="shared" si="201"/>
        <v>0</v>
      </c>
      <c r="R265" s="10">
        <f t="shared" si="201"/>
        <v>0</v>
      </c>
      <c r="S265" s="10">
        <f t="shared" si="201"/>
        <v>0</v>
      </c>
      <c r="T265" s="10">
        <f t="shared" si="202"/>
        <v>0</v>
      </c>
      <c r="U265" s="10">
        <f t="shared" si="202"/>
        <v>0</v>
      </c>
      <c r="V265" s="10">
        <f t="shared" si="202"/>
        <v>0</v>
      </c>
      <c r="W265" s="10">
        <f t="shared" si="202"/>
        <v>0</v>
      </c>
      <c r="X265" s="10">
        <f t="shared" si="202"/>
        <v>0</v>
      </c>
      <c r="Y265" s="10">
        <f t="shared" si="202"/>
        <v>0</v>
      </c>
      <c r="Z265" s="10">
        <f t="shared" si="202"/>
        <v>0</v>
      </c>
      <c r="AA265" s="10">
        <f t="shared" si="202"/>
        <v>0</v>
      </c>
      <c r="AB265" s="10">
        <f t="shared" si="202"/>
        <v>0</v>
      </c>
      <c r="AC265" s="10">
        <f t="shared" si="202"/>
        <v>0</v>
      </c>
      <c r="AD265" s="10">
        <f t="shared" si="203"/>
        <v>0</v>
      </c>
      <c r="AE265" s="10">
        <f t="shared" si="203"/>
        <v>0</v>
      </c>
      <c r="AF265" s="10">
        <f t="shared" si="203"/>
        <v>0</v>
      </c>
      <c r="AG265" s="10">
        <f t="shared" si="203"/>
        <v>0</v>
      </c>
      <c r="AH265" s="10">
        <f t="shared" si="203"/>
        <v>0</v>
      </c>
      <c r="AI265" s="10">
        <f t="shared" si="203"/>
        <v>0</v>
      </c>
      <c r="AJ265" s="10">
        <f t="shared" si="203"/>
        <v>0</v>
      </c>
      <c r="AK265" s="10">
        <f t="shared" si="203"/>
        <v>0</v>
      </c>
      <c r="AL265" s="10">
        <f t="shared" si="203"/>
        <v>0</v>
      </c>
      <c r="AM265" s="10">
        <f t="shared" si="203"/>
        <v>0</v>
      </c>
      <c r="AN265" s="10">
        <f t="shared" si="203"/>
        <v>0</v>
      </c>
      <c r="AO265" s="6">
        <f>AN265</f>
        <v>0</v>
      </c>
      <c r="AP265" s="6">
        <f>AO265</f>
        <v>0</v>
      </c>
      <c r="AQ265" s="6"/>
      <c r="AR265" s="6"/>
      <c r="AS265" s="6"/>
      <c r="AT265" s="6"/>
      <c r="AU265" s="6"/>
      <c r="AV265" s="6"/>
    </row>
    <row r="266" spans="1:48" s="4" customFormat="1">
      <c r="B266" s="22" t="str">
        <f t="shared" si="200"/>
        <v>COM_PROJ</v>
      </c>
      <c r="C266" s="23" t="str">
        <f t="shared" si="193"/>
        <v>-</v>
      </c>
      <c r="D266" s="22" t="str">
        <f>COM!B182</f>
        <v>CNO</v>
      </c>
      <c r="E266" s="23" t="str">
        <f t="shared" si="204"/>
        <v>-</v>
      </c>
      <c r="F266" s="23" t="str">
        <f t="shared" si="204"/>
        <v>-</v>
      </c>
      <c r="G266" s="23" t="str">
        <f t="shared" si="204"/>
        <v>-</v>
      </c>
      <c r="H266" s="23" t="str">
        <f t="shared" si="204"/>
        <v>-</v>
      </c>
      <c r="I266" s="22">
        <f t="shared" si="195"/>
        <v>0</v>
      </c>
      <c r="J266" s="10">
        <f t="shared" si="201"/>
        <v>0</v>
      </c>
      <c r="K266" s="10">
        <f t="shared" si="201"/>
        <v>0</v>
      </c>
      <c r="L266" s="10">
        <f t="shared" si="201"/>
        <v>0</v>
      </c>
      <c r="M266" s="10">
        <f t="shared" si="201"/>
        <v>0</v>
      </c>
      <c r="N266" s="10">
        <f t="shared" si="201"/>
        <v>0</v>
      </c>
      <c r="O266" s="10">
        <f t="shared" si="201"/>
        <v>0</v>
      </c>
      <c r="P266" s="10">
        <f t="shared" si="201"/>
        <v>0.22366371570704255</v>
      </c>
      <c r="Q266" s="10">
        <f t="shared" si="201"/>
        <v>0.46253228824653669</v>
      </c>
      <c r="R266" s="10">
        <f t="shared" si="201"/>
        <v>0.59852622221288887</v>
      </c>
      <c r="S266" s="10">
        <f t="shared" si="201"/>
        <v>0.85485860959832971</v>
      </c>
      <c r="T266" s="10">
        <f t="shared" si="202"/>
        <v>1.0939207588889821</v>
      </c>
      <c r="U266" s="10">
        <f t="shared" si="202"/>
        <v>1.3172165257850814</v>
      </c>
      <c r="V266" s="10">
        <f t="shared" si="202"/>
        <v>1.5231238242152458</v>
      </c>
      <c r="W266" s="10">
        <f t="shared" si="202"/>
        <v>1.7188071341225437</v>
      </c>
      <c r="X266" s="10">
        <f t="shared" si="202"/>
        <v>1.9195071881253309</v>
      </c>
      <c r="Y266" s="10">
        <f t="shared" si="202"/>
        <v>2.1026211637514209</v>
      </c>
      <c r="Z266" s="10">
        <f t="shared" si="202"/>
        <v>2.2753964033496019</v>
      </c>
      <c r="AA266" s="10">
        <f t="shared" si="202"/>
        <v>2.4359362156745239</v>
      </c>
      <c r="AB266" s="10">
        <f t="shared" si="202"/>
        <v>2.5836573601391053</v>
      </c>
      <c r="AC266" s="10">
        <f t="shared" si="202"/>
        <v>2.8260023706257384</v>
      </c>
      <c r="AD266" s="10">
        <f t="shared" si="203"/>
        <v>3.0640988566224556</v>
      </c>
      <c r="AE266" s="10">
        <f t="shared" si="203"/>
        <v>3.3129044760453503</v>
      </c>
      <c r="AF266" s="10">
        <f t="shared" si="203"/>
        <v>3.5699950309267376</v>
      </c>
      <c r="AG266" s="10">
        <f t="shared" si="203"/>
        <v>3.8344796905540499</v>
      </c>
      <c r="AH266" s="10">
        <f t="shared" si="203"/>
        <v>4.1038275533106754</v>
      </c>
      <c r="AI266" s="10">
        <f t="shared" si="203"/>
        <v>4.3771789256268638</v>
      </c>
      <c r="AJ266" s="10">
        <f t="shared" si="203"/>
        <v>4.6506887532737391</v>
      </c>
      <c r="AK266" s="10">
        <f t="shared" si="203"/>
        <v>4.9284039435776448</v>
      </c>
      <c r="AL266" s="10">
        <f t="shared" si="203"/>
        <v>5.2138814039356625</v>
      </c>
      <c r="AM266" s="10">
        <f t="shared" si="203"/>
        <v>6.6808921104283172</v>
      </c>
      <c r="AN266" s="10">
        <f t="shared" si="203"/>
        <v>8.2988069511085349</v>
      </c>
      <c r="AO266" s="6">
        <f>AN266</f>
        <v>8.2988069511085349</v>
      </c>
      <c r="AP266" s="6">
        <f>AO266</f>
        <v>8.2988069511085349</v>
      </c>
      <c r="AQ266" s="6"/>
      <c r="AR266" s="6"/>
      <c r="AS266" s="6"/>
      <c r="AT266" s="6"/>
      <c r="AU266" s="6"/>
      <c r="AV266" s="6"/>
    </row>
    <row r="267" spans="1:48">
      <c r="K267" s="96"/>
    </row>
    <row r="268" spans="1:48">
      <c r="K268" s="96"/>
    </row>
    <row r="269" spans="1:48">
      <c r="M269" s="105"/>
      <c r="AB269" s="105"/>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[3]ITEMS_Comm!A9</f>
        <v/>
      </c>
      <c r="B6" s="19" t="str">
        <f>[3]ITEMS_Comm!B9</f>
        <v>E</v>
      </c>
      <c r="C6" s="46" t="str">
        <f>[3]ITEMS_Comm!C9</f>
        <v>TPPRSUV</v>
      </c>
      <c r="D6" s="45" t="str">
        <f>[3]ITEMS_Comm!D9</f>
        <v>Transport Passenger SUV Priv.Veh.</v>
      </c>
      <c r="E6" s="19" t="str">
        <f>[3]ITEMS_Comm!E9</f>
        <v>PJ</v>
      </c>
      <c r="F6" s="19" t="str">
        <f>[3]ITEMS_Comm!F9</f>
        <v>COM,DEM,ANNUAL,RES</v>
      </c>
    </row>
    <row r="7" spans="1:9">
      <c r="A7" s="18" t="str">
        <f>[3]ITEMS_Comm!A10</f>
        <v/>
      </c>
      <c r="B7" s="19" t="str">
        <f>[3]ITEMS_Comm!B10</f>
        <v>E</v>
      </c>
      <c r="C7" s="46" t="str">
        <f>[3]ITEMS_Comm!C10</f>
        <v>TPPRCAR</v>
      </c>
      <c r="D7" s="45" t="str">
        <f>[3]ITEMS_Comm!D10</f>
        <v>Transport Passenger Car Priv.Veh.</v>
      </c>
      <c r="E7" s="19" t="str">
        <f>[3]ITEMS_Comm!E10</f>
        <v>PJ</v>
      </c>
      <c r="F7" s="19" t="str">
        <f>[3]ITEMS_Comm!F10</f>
        <v>COM,DEM,ANNUAL,RES</v>
      </c>
    </row>
    <row r="8" spans="1:9">
      <c r="A8" s="18" t="str">
        <f>[3]ITEMS_Comm!A11</f>
        <v/>
      </c>
      <c r="B8" s="19" t="str">
        <f>[3]ITEMS_Comm!B11</f>
        <v>E</v>
      </c>
      <c r="C8" s="46" t="str">
        <f>[3]ITEMS_Comm!C11</f>
        <v>TPPRMOT</v>
      </c>
      <c r="D8" s="45" t="str">
        <f>[3]ITEMS_Comm!D11</f>
        <v>Transport Passenger Moto Priv.Veh.</v>
      </c>
      <c r="E8" s="19" t="str">
        <f>[3]ITEMS_Comm!E11</f>
        <v>PJ</v>
      </c>
      <c r="F8" s="19" t="str">
        <f>[3]ITEMS_Comm!F11</f>
        <v>COM,DEM,ANNUAL,RES</v>
      </c>
    </row>
    <row r="9" spans="1:9">
      <c r="A9" s="18" t="str">
        <f>[3]ITEMS_Comm!A12</f>
        <v/>
      </c>
      <c r="B9" s="19" t="str">
        <f>[3]ITEMS_Comm!B12</f>
        <v>E</v>
      </c>
      <c r="C9" s="46" t="str">
        <f>[3]ITEMS_Comm!C12</f>
        <v>TPPUBUS</v>
      </c>
      <c r="D9" s="45" t="str">
        <f>[3]ITEMS_Comm!D12</f>
        <v>Transport Passenger Bus</v>
      </c>
      <c r="E9" s="19" t="str">
        <f>[3]ITEMS_Comm!E12</f>
        <v>PJ</v>
      </c>
      <c r="F9" s="19" t="str">
        <f>[3]ITEMS_Comm!F12</f>
        <v>COM,DEM,ANNUAL,RES</v>
      </c>
    </row>
    <row r="10" spans="1:9">
      <c r="A10" s="18" t="str">
        <f>[3]ITEMS_Comm!A13</f>
        <v/>
      </c>
      <c r="B10" s="19" t="str">
        <f>[3]ITEMS_Comm!B13</f>
        <v>E</v>
      </c>
      <c r="C10" s="46" t="str">
        <f>[3]ITEMS_Comm!C13</f>
        <v>TPPUMBT</v>
      </c>
      <c r="D10" s="45" t="str">
        <f>[3]ITEMS_Comm!D13</f>
        <v>Transport Passenger Minibus</v>
      </c>
      <c r="E10" s="19" t="str">
        <f>[3]ITEMS_Comm!E13</f>
        <v>PJ</v>
      </c>
      <c r="F10" s="19" t="str">
        <f>[3]ITEMS_Comm!F13</f>
        <v>COM,DEM,ANNUAL,RES</v>
      </c>
    </row>
    <row r="11" spans="1:9">
      <c r="A11" s="18" t="str">
        <f>[3]ITEMS_Comm!A14</f>
        <v/>
      </c>
      <c r="B11" s="19" t="str">
        <f>[3]ITEMS_Comm!B14</f>
        <v>E</v>
      </c>
      <c r="C11" s="46" t="str">
        <f>[3]ITEMS_Comm!C14</f>
        <v>TPPUBRT</v>
      </c>
      <c r="D11" s="45" t="str">
        <f>[3]ITEMS_Comm!D14</f>
        <v>Transport Passenger BRT</v>
      </c>
      <c r="E11" s="19" t="str">
        <f>[3]ITEMS_Comm!E14</f>
        <v>PJ</v>
      </c>
      <c r="F11" s="19" t="str">
        <f>[3]ITEMS_Comm!F14</f>
        <v>COM,DEM,ANNUAL,RES</v>
      </c>
    </row>
    <row r="12" spans="1:9">
      <c r="A12" s="18" t="str">
        <f>[3]ITEMS_Comm!A15</f>
        <v/>
      </c>
      <c r="B12" s="19" t="str">
        <f>[3]ITEMS_Comm!B15</f>
        <v>E</v>
      </c>
      <c r="C12" s="46" t="str">
        <f>[3]ITEMS_Comm!C15</f>
        <v>TPPUMER</v>
      </c>
      <c r="D12" s="45" t="str">
        <f>[3]ITEMS_Comm!D15</f>
        <v>Transport Passenger Metro Rail</v>
      </c>
      <c r="E12" s="19" t="str">
        <f>[3]ITEMS_Comm!E15</f>
        <v>PJ</v>
      </c>
      <c r="F12" s="19" t="str">
        <f>[3]ITEMS_Comm!F15</f>
        <v>COM,DEM,ANNUAL,RES</v>
      </c>
    </row>
    <row r="13" spans="1:9">
      <c r="A13" s="18" t="str">
        <f>[3]ITEMS_Comm!A16</f>
        <v/>
      </c>
      <c r="B13" s="19" t="str">
        <f>[3]ITEMS_Comm!B16</f>
        <v>E</v>
      </c>
      <c r="C13" s="46" t="str">
        <f>[3]ITEMS_Comm!C16</f>
        <v>TPPUGAT</v>
      </c>
      <c r="D13" s="45" t="str">
        <f>[3]ITEMS_Comm!D16</f>
        <v>Transport Passenger Gautrain</v>
      </c>
      <c r="E13" s="19" t="str">
        <f>[3]ITEMS_Comm!E16</f>
        <v>PJ</v>
      </c>
      <c r="F13" s="19" t="str">
        <f>[3]ITEMS_Comm!F16</f>
        <v>COM,DEM,ANNUAL,RES</v>
      </c>
    </row>
    <row r="14" spans="1:9">
      <c r="A14" s="18" t="str">
        <f>[3]ITEMS_Comm!A17</f>
        <v>*</v>
      </c>
      <c r="B14" s="19"/>
      <c r="C14" s="46"/>
      <c r="D14" s="45"/>
      <c r="E14" s="19"/>
      <c r="F14" s="19"/>
    </row>
    <row r="15" spans="1:9">
      <c r="B15" s="19" t="str">
        <f>[3]ITEMS_Comm!B18</f>
        <v>E</v>
      </c>
      <c r="C15" s="46" t="str">
        <f>[3]ITEMS_Comm!C18</f>
        <v>TFLCV</v>
      </c>
      <c r="D15" s="45" t="str">
        <f>[3]ITEMS_Comm!D18</f>
        <v>Transport Freight - LCV</v>
      </c>
      <c r="E15" s="19" t="str">
        <f>[3]ITEMS_Comm!E18</f>
        <v>PJ</v>
      </c>
      <c r="F15" s="19" t="str">
        <f>[3]ITEMS_Comm!F18</f>
        <v>COM,DEM,ANNUAL,RES</v>
      </c>
    </row>
    <row r="16" spans="1:9">
      <c r="B16" s="19" t="str">
        <f>[3]ITEMS_Comm!B19</f>
        <v>E</v>
      </c>
      <c r="C16" s="46" t="str">
        <f>[3]ITEMS_Comm!C19</f>
        <v>TFHCV1</v>
      </c>
      <c r="D16" s="45" t="str">
        <f>[3]ITEMS_Comm!D19</f>
        <v>Transport Freight - HCV1</v>
      </c>
      <c r="E16" s="19" t="str">
        <f>[3]ITEMS_Comm!E19</f>
        <v>PJ</v>
      </c>
      <c r="F16" s="19" t="str">
        <f>[3]ITEMS_Comm!F19</f>
        <v>COM,DEM,ANNUAL,RES</v>
      </c>
    </row>
    <row r="17" spans="1:6">
      <c r="B17" s="19" t="str">
        <f>[3]ITEMS_Comm!B20</f>
        <v>E</v>
      </c>
      <c r="C17" s="46" t="str">
        <f>[3]ITEMS_Comm!C20</f>
        <v>TFHCV2</v>
      </c>
      <c r="D17" s="45" t="str">
        <f>[3]ITEMS_Comm!D20</f>
        <v>Transport Freight - HCV2</v>
      </c>
      <c r="E17" s="19" t="str">
        <f>[3]ITEMS_Comm!E20</f>
        <v>PJ</v>
      </c>
      <c r="F17" s="19" t="str">
        <f>[3]ITEMS_Comm!F20</f>
        <v>COM,DEM,ANNUAL,RES</v>
      </c>
    </row>
    <row r="18" spans="1:6">
      <c r="B18" s="19" t="str">
        <f>[3]ITEMS_Comm!B21</f>
        <v>E</v>
      </c>
      <c r="C18" s="46" t="str">
        <f>[3]ITEMS_Comm!C21</f>
        <v>TFHCV3</v>
      </c>
      <c r="D18" s="45" t="str">
        <f>[3]ITEMS_Comm!D21</f>
        <v>Transport Freight - HCV3</v>
      </c>
      <c r="E18" s="19" t="str">
        <f>[3]ITEMS_Comm!E21</f>
        <v>PJ</v>
      </c>
      <c r="F18" s="19" t="str">
        <f>[3]ITEMS_Comm!F21</f>
        <v>COM,DEM,ANNUAL,RES</v>
      </c>
    </row>
    <row r="19" spans="1:6">
      <c r="B19" s="19" t="str">
        <f>[3]ITEMS_Comm!B22</f>
        <v>E</v>
      </c>
      <c r="C19" s="46" t="str">
        <f>[3]ITEMS_Comm!C22</f>
        <v>TFHCV4</v>
      </c>
      <c r="D19" s="45" t="str">
        <f>[3]ITEMS_Comm!D22</f>
        <v>Transport Freight - HCV4</v>
      </c>
      <c r="E19" s="19" t="str">
        <f>[3]ITEMS_Comm!E22</f>
        <v>PJ</v>
      </c>
      <c r="F19" s="19" t="str">
        <f>[3]ITEMS_Comm!F22</f>
        <v>COM,DEM,ANNUAL,RES</v>
      </c>
    </row>
    <row r="20" spans="1:6">
      <c r="B20" s="19" t="str">
        <f>[3]ITEMS_Comm!B23</f>
        <v>E</v>
      </c>
      <c r="C20" s="46" t="str">
        <f>[3]ITEMS_Comm!C23</f>
        <v>TFHCV5</v>
      </c>
      <c r="D20" s="45" t="str">
        <f>[3]ITEMS_Comm!D23</f>
        <v>Transport Freight - HCV5</v>
      </c>
      <c r="E20" s="19" t="str">
        <f>[3]ITEMS_Comm!E23</f>
        <v>PJ</v>
      </c>
      <c r="F20" s="19" t="str">
        <f>[3]ITEMS_Comm!F23</f>
        <v>COM,DEM,ANNUAL,RES</v>
      </c>
    </row>
    <row r="21" spans="1:6">
      <c r="B21" s="19" t="str">
        <f>[3]ITEMS_Comm!B24</f>
        <v>E</v>
      </c>
      <c r="C21" s="46" t="str">
        <f>[3]ITEMS_Comm!C24</f>
        <v>TFHCV6</v>
      </c>
      <c r="D21" s="45" t="str">
        <f>[3]ITEMS_Comm!D24</f>
        <v>Transport Freight - HCV6</v>
      </c>
      <c r="E21" s="19" t="str">
        <f>[3]ITEMS_Comm!E24</f>
        <v>PJ</v>
      </c>
      <c r="F21" s="19" t="str">
        <f>[3]ITEMS_Comm!F24</f>
        <v>COM,DEM,ANNUAL,RES</v>
      </c>
    </row>
    <row r="22" spans="1:6">
      <c r="B22" s="19" t="str">
        <f>[3]ITEMS_Comm!B25</f>
        <v>E</v>
      </c>
      <c r="C22" s="46" t="str">
        <f>[3]ITEMS_Comm!C25</f>
        <v>TFHCV7</v>
      </c>
      <c r="D22" s="45" t="str">
        <f>[3]ITEMS_Comm!D25</f>
        <v>Transport Freight - HCV7</v>
      </c>
      <c r="E22" s="19" t="str">
        <f>[3]ITEMS_Comm!E25</f>
        <v>PJ</v>
      </c>
      <c r="F22" s="19" t="str">
        <f>[3]ITEMS_Comm!F25</f>
        <v>COM,DEM,ANNUAL,RES</v>
      </c>
    </row>
    <row r="23" spans="1:6">
      <c r="B23" s="19" t="str">
        <f>[3]ITEMS_Comm!B26</f>
        <v>E</v>
      </c>
      <c r="C23" s="46" t="str">
        <f>[3]ITEMS_Comm!C26</f>
        <v>TFHCV8</v>
      </c>
      <c r="D23" s="45" t="str">
        <f>[3]ITEMS_Comm!D26</f>
        <v>Transport Freight - HCV8</v>
      </c>
      <c r="E23" s="19" t="str">
        <f>[3]ITEMS_Comm!E26</f>
        <v>PJ</v>
      </c>
      <c r="F23" s="19" t="str">
        <f>[3]ITEMS_Comm!F26</f>
        <v>COM,DEM,ANNUAL,RES</v>
      </c>
    </row>
    <row r="24" spans="1:6">
      <c r="B24" s="19" t="str">
        <f>[3]ITEMS_Comm!B27</f>
        <v>E</v>
      </c>
      <c r="C24" s="46" t="str">
        <f>[3]ITEMS_Comm!C27</f>
        <v>TFHCV9</v>
      </c>
      <c r="D24" s="45" t="str">
        <f>[3]ITEMS_Comm!D27</f>
        <v>Transport Freight - HCV9</v>
      </c>
      <c r="E24" s="19" t="str">
        <f>[3]ITEMS_Comm!E27</f>
        <v>PJ</v>
      </c>
      <c r="F24" s="19" t="str">
        <f>[3]ITEMS_Comm!F27</f>
        <v>COM,DEM,ANNUAL,RES</v>
      </c>
    </row>
    <row r="25" spans="1:6">
      <c r="A25" s="18" t="str">
        <f>[3]ITEMS_Comm!A28</f>
        <v/>
      </c>
      <c r="B25" s="19" t="str">
        <f>[3]ITEMS_Comm!B28</f>
        <v>E</v>
      </c>
      <c r="C25" s="46" t="str">
        <f>[3]ITEMS_Comm!C28</f>
        <v>TFRCO</v>
      </c>
      <c r="D25" s="45" t="str">
        <f>[3]ITEMS_Comm!D28</f>
        <v>Transport Freight - Rail Corridor</v>
      </c>
      <c r="E25" s="19" t="str">
        <f>[3]ITEMS_Comm!E28</f>
        <v>PJ</v>
      </c>
      <c r="F25" s="19" t="str">
        <f>[3]ITEMS_Comm!F28</f>
        <v>COM,DEM,ANNUAL,RES</v>
      </c>
    </row>
    <row r="26" spans="1:6">
      <c r="A26" s="18" t="str">
        <f>[3]ITEMS_Comm!A29</f>
        <v/>
      </c>
      <c r="B26" s="19" t="str">
        <f>[3]ITEMS_Comm!B29</f>
        <v>E</v>
      </c>
      <c r="C26" s="46" t="str">
        <f>[3]ITEMS_Comm!C29</f>
        <v>TFROT</v>
      </c>
      <c r="D26" s="45" t="str">
        <f>[3]ITEMS_Comm!D29</f>
        <v>Transport Freight - Rail Other</v>
      </c>
      <c r="E26" s="19" t="str">
        <f>[3]ITEMS_Comm!E29</f>
        <v>PJ</v>
      </c>
      <c r="F26" s="19" t="str">
        <f>[3]ITEMS_Comm!F29</f>
        <v>COM,DEM,ANNUAL,RES</v>
      </c>
    </row>
    <row r="27" spans="1:6">
      <c r="A27" s="18" t="str">
        <f>[3]ITEMS_Comm!A30</f>
        <v/>
      </c>
      <c r="B27" s="19" t="str">
        <f>[3]ITEMS_Comm!B30</f>
        <v>E</v>
      </c>
      <c r="C27" s="46" t="str">
        <f>[3]ITEMS_Comm!C30</f>
        <v>TFREX</v>
      </c>
      <c r="D27" s="45" t="str">
        <f>[3]ITEMS_Comm!D30</f>
        <v>Transport Freight - Rail Export (bulk mining)</v>
      </c>
      <c r="E27" s="19" t="str">
        <f>[3]ITEMS_Comm!E30</f>
        <v>PJ</v>
      </c>
      <c r="F27" s="19" t="str">
        <f>[3]ITEMS_Comm!F30</f>
        <v>COM,DEM,ANNUAL,RES</v>
      </c>
    </row>
    <row r="28" spans="1:6">
      <c r="A28" s="18" t="str">
        <f>[3]ITEMS_Comm!A31</f>
        <v>*</v>
      </c>
      <c r="B28" s="19"/>
      <c r="C28" s="46"/>
      <c r="D28" s="45"/>
      <c r="E28" s="19"/>
      <c r="F28" s="19"/>
    </row>
    <row r="29" spans="1:6">
      <c r="A29" s="18" t="str">
        <f>[3]ITEMS_Comm!A32</f>
        <v/>
      </c>
      <c r="B29" s="19" t="str">
        <f>[3]ITEMS_Comm!B32</f>
        <v>E</v>
      </c>
      <c r="C29" s="46" t="str">
        <f>[3]ITEMS_Comm!C32</f>
        <v>TFPIP</v>
      </c>
      <c r="D29" s="45" t="str">
        <f>[3]ITEMS_Comm!D32</f>
        <v>Transport Other - Pipeline</v>
      </c>
      <c r="E29" s="19" t="str">
        <f>[3]ITEMS_Comm!E32</f>
        <v>PJ</v>
      </c>
      <c r="F29" s="19" t="str">
        <f>[3]ITEMS_Comm!F32</f>
        <v>COM,DEM,ANNUAL,RES</v>
      </c>
    </row>
    <row r="30" spans="1:6">
      <c r="A30" s="18" t="str">
        <f>[3]ITEMS_Comm!A33</f>
        <v/>
      </c>
      <c r="B30" s="19" t="str">
        <f>[3]ITEMS_Comm!B33</f>
        <v>E</v>
      </c>
      <c r="C30" s="46" t="str">
        <f>[3]ITEMS_Comm!C33</f>
        <v>TAIJET</v>
      </c>
      <c r="D30" s="45" t="str">
        <f>[3]ITEMS_Comm!D33</f>
        <v xml:space="preserve">Transport Other -  Aviation Int Jet Fuel </v>
      </c>
      <c r="E30" s="19" t="str">
        <f>[3]ITEMS_Comm!E33</f>
        <v>PJ</v>
      </c>
      <c r="F30" s="19" t="str">
        <f>[3]ITEMS_Comm!F33</f>
        <v>COM,DEM,ANNUAL,RES</v>
      </c>
    </row>
    <row r="31" spans="1:6">
      <c r="A31" s="18" t="str">
        <f>[3]ITEMS_Comm!A34</f>
        <v/>
      </c>
      <c r="B31" s="19" t="str">
        <f>[3]ITEMS_Comm!B34</f>
        <v>E</v>
      </c>
      <c r="C31" s="46" t="str">
        <f>[3]ITEMS_Comm!C34</f>
        <v>TADJET</v>
      </c>
      <c r="D31" s="45" t="str">
        <f>[3]ITEMS_Comm!D34</f>
        <v xml:space="preserve">Transport Other -  Aviation Dom Jet Fuel </v>
      </c>
      <c r="E31" s="19" t="str">
        <f>[3]ITEMS_Comm!E34</f>
        <v>PJ</v>
      </c>
      <c r="F31" s="19" t="str">
        <f>[3]ITEMS_Comm!F34</f>
        <v>COM,DEM,ANNUAL,RES</v>
      </c>
    </row>
    <row r="32" spans="1:6">
      <c r="A32" s="18" t="str">
        <f>[3]ITEMS_Comm!A35</f>
        <v/>
      </c>
      <c r="B32" s="19" t="str">
        <f>[3]ITEMS_Comm!B35</f>
        <v>E</v>
      </c>
      <c r="C32" s="46" t="str">
        <f>[3]ITEMS_Comm!C35</f>
        <v>TAOAG</v>
      </c>
      <c r="D32" s="45" t="str">
        <f>[3]ITEMS_Comm!D35</f>
        <v>Transport Other - Aviation Gasoline</v>
      </c>
      <c r="E32" s="19" t="str">
        <f>[3]ITEMS_Comm!E35</f>
        <v>PJ</v>
      </c>
      <c r="F32" s="19" t="str">
        <f>[3]ITEMS_Comm!F35</f>
        <v>COM,DEM,ANNUAL,RES</v>
      </c>
    </row>
    <row r="33" spans="1:6">
      <c r="A33" s="18" t="str">
        <f>[3]ITEMS_Comm!A36</f>
        <v/>
      </c>
      <c r="B33" s="19" t="str">
        <f>[3]ITEMS_Comm!B36</f>
        <v>E</v>
      </c>
      <c r="C33" s="46" t="str">
        <f>[3]ITEMS_Comm!C36</f>
        <v>TSHFO</v>
      </c>
      <c r="D33" s="45" t="str">
        <f>[3]ITEMS_Comm!D36</f>
        <v>Transport Other - HFO</v>
      </c>
      <c r="E33" s="19" t="str">
        <f>[3]ITEMS_Comm!E36</f>
        <v>PJ</v>
      </c>
      <c r="F33" s="19" t="str">
        <f>[3]ITEMS_Comm!F36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topLeftCell="A91" zoomScale="80" zoomScaleNormal="80" workbookViewId="0">
      <selection activeCell="I92" sqref="I92"/>
    </sheetView>
  </sheetViews>
  <sheetFormatPr defaultColWidth="9.140625" defaultRowHeight="15"/>
  <cols>
    <col min="1" max="1" width="9.140625" style="225"/>
    <col min="2" max="2" width="11.85546875" style="225" customWidth="1"/>
    <col min="3" max="3" width="73" style="225" customWidth="1"/>
    <col min="4" max="4" width="9.140625" style="225"/>
    <col min="5" max="5" width="13.42578125" style="225" bestFit="1" customWidth="1"/>
    <col min="6" max="53" width="9.140625" style="225"/>
    <col min="54" max="54" width="16" style="225" customWidth="1"/>
    <col min="55" max="16384" width="9.140625" style="225"/>
  </cols>
  <sheetData>
    <row r="1" spans="1:58">
      <c r="A1" s="225" t="str">
        <f>IF(TRA,"TS DATA","")</f>
        <v>TS DATA</v>
      </c>
      <c r="B1" s="225" t="s">
        <v>17</v>
      </c>
      <c r="D1" s="225">
        <f>DriversGams!M162</f>
        <v>-1</v>
      </c>
      <c r="BA1" s="232" t="s">
        <v>223</v>
      </c>
      <c r="BB1" s="232" t="s">
        <v>561</v>
      </c>
      <c r="BC1" s="232" t="s">
        <v>197</v>
      </c>
      <c r="BD1" s="232" t="s">
        <v>569</v>
      </c>
      <c r="BE1" s="232"/>
    </row>
    <row r="2" spans="1:58" ht="15.75" thickBot="1">
      <c r="A2" s="225" t="s">
        <v>16</v>
      </c>
      <c r="B2" s="304" t="s">
        <v>296</v>
      </c>
      <c r="C2" s="304"/>
      <c r="BA2" s="232"/>
      <c r="BB2" s="232"/>
      <c r="BC2" s="232"/>
      <c r="BD2" s="232" t="s">
        <v>564</v>
      </c>
      <c r="BE2" s="232" t="s">
        <v>578</v>
      </c>
    </row>
    <row r="3" spans="1:58">
      <c r="A3" s="225" t="s">
        <v>16</v>
      </c>
      <c r="C3" s="232" t="str">
        <f>INDEX($BB$4:$BB$7,MATCH($D$3,$BA$4:$BA$7,0))</f>
        <v>PAMS Reference</v>
      </c>
      <c r="D3" s="236">
        <f>DriversGams!M162</f>
        <v>-1</v>
      </c>
      <c r="F3" s="225">
        <f>MATCH(F4,Drivers!$C$5:$AG$5,0)</f>
        <v>1</v>
      </c>
      <c r="G3" s="225">
        <f>MATCH(G4,Drivers!$C$5:$AG$5,0)</f>
        <v>4</v>
      </c>
      <c r="H3" s="225">
        <f>MATCH(H4,Drivers!$C$5:$AG$5,0)</f>
        <v>6</v>
      </c>
      <c r="I3" s="225">
        <f>MATCH(I4,Drivers!$C$5:$AG$5,0)</f>
        <v>9</v>
      </c>
      <c r="J3" s="225">
        <f>MATCH(J4,Drivers!$C$5:$AG$5,0)</f>
        <v>19</v>
      </c>
      <c r="K3" s="225">
        <f>MATCH(K4,Drivers!$C$5:$AG$5,0)</f>
        <v>29</v>
      </c>
      <c r="L3" s="225">
        <f>MATCH(L4,Drivers!$C$5:$AG$5,0)</f>
        <v>31</v>
      </c>
      <c r="BA3" s="232"/>
      <c r="BB3" s="232"/>
      <c r="BC3" s="232"/>
      <c r="BD3" s="232" t="s">
        <v>153</v>
      </c>
      <c r="BE3" s="232"/>
    </row>
    <row r="4" spans="1:58">
      <c r="A4" s="225" t="s">
        <v>16</v>
      </c>
      <c r="B4" s="271"/>
      <c r="C4" s="5" t="s">
        <v>198</v>
      </c>
      <c r="D4" s="235">
        <f>INDEX($BC$4:$BC$7,MATCH($D$3,BA$4:BA$7,0))</f>
        <v>0</v>
      </c>
      <c r="F4" s="225">
        <v>2012</v>
      </c>
      <c r="G4" s="225">
        <v>2015</v>
      </c>
      <c r="H4" s="225">
        <v>2017</v>
      </c>
      <c r="I4" s="225">
        <v>2020</v>
      </c>
      <c r="J4" s="225">
        <v>2030</v>
      </c>
      <c r="K4" s="225">
        <v>2040</v>
      </c>
      <c r="L4" s="225">
        <v>2050</v>
      </c>
      <c r="N4" s="7">
        <v>2015</v>
      </c>
      <c r="O4" s="7">
        <v>2020</v>
      </c>
      <c r="P4" s="7">
        <v>2030</v>
      </c>
      <c r="Q4" s="7">
        <v>2040</v>
      </c>
      <c r="R4" s="7">
        <v>2050</v>
      </c>
      <c r="T4" s="7">
        <f>N4</f>
        <v>2015</v>
      </c>
      <c r="U4" s="7">
        <f>O4</f>
        <v>2020</v>
      </c>
      <c r="V4" s="7">
        <f>P4</f>
        <v>2030</v>
      </c>
      <c r="W4" s="7">
        <f>Q4</f>
        <v>2040</v>
      </c>
      <c r="X4" s="7">
        <f>R4</f>
        <v>2050</v>
      </c>
      <c r="BA4" s="232">
        <v>-1</v>
      </c>
      <c r="BB4" s="232" t="s">
        <v>568</v>
      </c>
      <c r="BC4" s="232">
        <v>0</v>
      </c>
      <c r="BD4" s="224">
        <v>0.95</v>
      </c>
      <c r="BE4" s="241">
        <v>1</v>
      </c>
    </row>
    <row r="5" spans="1:58" ht="15.75" thickBot="1">
      <c r="A5" s="225" t="s">
        <v>16</v>
      </c>
      <c r="B5" s="14" t="s">
        <v>11</v>
      </c>
      <c r="C5" s="14"/>
      <c r="D5" s="14"/>
      <c r="E5" s="14"/>
      <c r="F5" s="14"/>
      <c r="G5" s="14"/>
      <c r="H5" s="14"/>
      <c r="I5" s="14"/>
      <c r="J5" s="14"/>
      <c r="K5" s="14"/>
      <c r="L5" s="14"/>
      <c r="M5" s="14"/>
      <c r="BA5" s="232">
        <v>1</v>
      </c>
      <c r="BB5" s="232" t="s">
        <v>562</v>
      </c>
      <c r="BC5" s="232">
        <v>1</v>
      </c>
      <c r="BD5" s="224">
        <v>0.77</v>
      </c>
      <c r="BE5" s="241">
        <v>0</v>
      </c>
      <c r="BF5" s="30"/>
    </row>
    <row r="6" spans="1:58">
      <c r="A6" s="225" t="s">
        <v>16</v>
      </c>
      <c r="B6" s="225" t="s">
        <v>9</v>
      </c>
      <c r="C6" s="225" t="s">
        <v>10</v>
      </c>
      <c r="D6" s="225" t="s">
        <v>404</v>
      </c>
      <c r="BA6" s="232">
        <v>2</v>
      </c>
      <c r="BB6" s="232" t="s">
        <v>577</v>
      </c>
      <c r="BC6" s="232">
        <v>1</v>
      </c>
      <c r="BD6" s="221">
        <v>0.88</v>
      </c>
      <c r="BE6" s="242">
        <v>1</v>
      </c>
    </row>
    <row r="7" spans="1:58">
      <c r="A7" s="225" t="s">
        <v>16</v>
      </c>
      <c r="B7" s="226" t="s">
        <v>630</v>
      </c>
      <c r="C7" s="226" t="s">
        <v>2</v>
      </c>
      <c r="D7" s="225">
        <f>MATCH(B7,Drivers!$A$7:$A$22,0)</f>
        <v>14</v>
      </c>
      <c r="E7" s="226"/>
      <c r="F7" s="24">
        <f>INDEX(Drivers!$C$7:$AG$22,$D7,F$3)</f>
        <v>135.96</v>
      </c>
      <c r="G7" s="24">
        <f>INDEX(Drivers!$C$7:$AG$22,$D7,G$3)</f>
        <v>144.16</v>
      </c>
      <c r="H7" s="24">
        <f>INDEX(Drivers!$C$7:$AG$22,$D7,H$3)</f>
        <v>147.16</v>
      </c>
      <c r="I7" s="24">
        <f>INDEX(Drivers!$C$7:$AG$22,$D7,I$3)</f>
        <v>138.22</v>
      </c>
      <c r="J7" s="24">
        <f>INDEX(Drivers!$C$7:$AG$22,$D7,J$3)</f>
        <v>169.63</v>
      </c>
      <c r="K7" s="24">
        <f>INDEX(Drivers!$C$7:$AG$22,$D7,K$3)</f>
        <v>224.36</v>
      </c>
      <c r="L7" s="24">
        <f>INDEX(Drivers!$C$7:$AG$22,$D7,L$3)</f>
        <v>309.06</v>
      </c>
      <c r="M7" s="226"/>
      <c r="N7" s="226">
        <f>G7</f>
        <v>144.16</v>
      </c>
      <c r="O7" s="226">
        <f t="shared" ref="O7:R9" si="0">I7</f>
        <v>138.22</v>
      </c>
      <c r="P7" s="226">
        <f t="shared" si="0"/>
        <v>169.63</v>
      </c>
      <c r="Q7" s="226">
        <f t="shared" si="0"/>
        <v>224.36</v>
      </c>
      <c r="R7" s="226">
        <f t="shared" si="0"/>
        <v>309.06</v>
      </c>
      <c r="T7" s="226">
        <f t="shared" ref="T7:X9" si="1">N7</f>
        <v>144.16</v>
      </c>
      <c r="U7" s="226">
        <f t="shared" si="1"/>
        <v>138.22</v>
      </c>
      <c r="V7" s="226">
        <f t="shared" si="1"/>
        <v>169.63</v>
      </c>
      <c r="W7" s="226">
        <f t="shared" si="1"/>
        <v>224.36</v>
      </c>
      <c r="X7" s="226">
        <f t="shared" si="1"/>
        <v>309.06</v>
      </c>
      <c r="BA7" s="232"/>
      <c r="BB7" s="232"/>
      <c r="BC7" s="232"/>
      <c r="BD7" s="221"/>
      <c r="BE7" s="242"/>
    </row>
    <row r="8" spans="1:58">
      <c r="A8" s="225" t="s">
        <v>16</v>
      </c>
      <c r="B8" s="226" t="s">
        <v>388</v>
      </c>
      <c r="C8" s="226" t="s">
        <v>68</v>
      </c>
      <c r="D8" s="225">
        <f>MATCH(B8,Drivers!$A$7:$A$22,0)</f>
        <v>7</v>
      </c>
      <c r="E8" s="226"/>
      <c r="F8" s="24">
        <f>INDEX(Drivers!$C$7:$AG$22,$D8,F$3)</f>
        <v>205.45</v>
      </c>
      <c r="G8" s="24">
        <f>INDEX(Drivers!$C$7:$AG$22,$D8,G$3)</f>
        <v>214.84</v>
      </c>
      <c r="H8" s="24">
        <f>INDEX(Drivers!$C$7:$AG$22,$D8,H$3)</f>
        <v>215.85</v>
      </c>
      <c r="I8" s="24">
        <f>INDEX(Drivers!$C$7:$AG$22,$D8,I$3)</f>
        <v>193.07</v>
      </c>
      <c r="J8" s="24">
        <f>INDEX(Drivers!$C$7:$AG$22,$D8,J$3)</f>
        <v>234.66</v>
      </c>
      <c r="K8" s="24">
        <f>INDEX(Drivers!$C$7:$AG$22,$D8,K$3)</f>
        <v>297.62</v>
      </c>
      <c r="L8" s="24">
        <f>INDEX(Drivers!$C$7:$AG$22,$D8,L$3)</f>
        <v>380</v>
      </c>
      <c r="M8" s="226"/>
      <c r="N8" s="226">
        <f>G8</f>
        <v>214.84</v>
      </c>
      <c r="O8" s="226">
        <f t="shared" si="0"/>
        <v>193.07</v>
      </c>
      <c r="P8" s="226">
        <f t="shared" si="0"/>
        <v>234.66</v>
      </c>
      <c r="Q8" s="226">
        <f t="shared" si="0"/>
        <v>297.62</v>
      </c>
      <c r="R8" s="226">
        <f t="shared" si="0"/>
        <v>380</v>
      </c>
      <c r="T8" s="226">
        <f t="shared" si="1"/>
        <v>214.84</v>
      </c>
      <c r="U8" s="226">
        <f t="shared" si="1"/>
        <v>193.07</v>
      </c>
      <c r="V8" s="226">
        <f t="shared" si="1"/>
        <v>234.66</v>
      </c>
      <c r="W8" s="226">
        <f t="shared" si="1"/>
        <v>297.62</v>
      </c>
      <c r="X8" s="226">
        <f t="shared" si="1"/>
        <v>380</v>
      </c>
    </row>
    <row r="9" spans="1:58">
      <c r="A9" s="225" t="s">
        <v>16</v>
      </c>
      <c r="B9" s="226" t="s">
        <v>389</v>
      </c>
      <c r="C9" s="226" t="s">
        <v>69</v>
      </c>
      <c r="D9" s="225">
        <f>MATCH(B9,Drivers!$A$7:$A$22,0)</f>
        <v>6</v>
      </c>
      <c r="E9" s="226"/>
      <c r="F9" s="24">
        <f>INDEX(Drivers!$C$7:$AG$22,$D9,F$3)</f>
        <v>13.35</v>
      </c>
      <c r="G9" s="24">
        <f>INDEX(Drivers!$C$7:$AG$22,$D9,G$3)</f>
        <v>14.13</v>
      </c>
      <c r="H9" s="24">
        <f>INDEX(Drivers!$C$7:$AG$22,$D9,H$3)</f>
        <v>14.18</v>
      </c>
      <c r="I9" s="24">
        <f>INDEX(Drivers!$C$7:$AG$22,$D9,I$3)</f>
        <v>12.26</v>
      </c>
      <c r="J9" s="24">
        <f>INDEX(Drivers!$C$7:$AG$22,$D9,J$3)</f>
        <v>15.88</v>
      </c>
      <c r="K9" s="24">
        <f>INDEX(Drivers!$C$7:$AG$22,$D9,K$3)</f>
        <v>20.14</v>
      </c>
      <c r="L9" s="24">
        <f>INDEX(Drivers!$C$7:$AG$22,$D9,L$3)</f>
        <v>25.89</v>
      </c>
      <c r="M9" s="226"/>
      <c r="N9" s="226">
        <f>G9</f>
        <v>14.13</v>
      </c>
      <c r="O9" s="226">
        <f t="shared" si="0"/>
        <v>12.26</v>
      </c>
      <c r="P9" s="226">
        <f t="shared" si="0"/>
        <v>15.88</v>
      </c>
      <c r="Q9" s="226">
        <f t="shared" si="0"/>
        <v>20.14</v>
      </c>
      <c r="R9" s="226">
        <f t="shared" si="0"/>
        <v>25.89</v>
      </c>
      <c r="T9" s="226">
        <f t="shared" si="1"/>
        <v>14.13</v>
      </c>
      <c r="U9" s="226">
        <f t="shared" si="1"/>
        <v>12.26</v>
      </c>
      <c r="V9" s="226">
        <f t="shared" si="1"/>
        <v>15.88</v>
      </c>
      <c r="W9" s="226">
        <f t="shared" si="1"/>
        <v>20.14</v>
      </c>
      <c r="X9" s="226">
        <f t="shared" si="1"/>
        <v>25.89</v>
      </c>
    </row>
    <row r="10" spans="1:58">
      <c r="A10" s="225" t="s">
        <v>16</v>
      </c>
      <c r="B10" s="226"/>
      <c r="C10" s="226"/>
      <c r="E10" s="226"/>
      <c r="F10" s="226"/>
      <c r="G10" s="226"/>
      <c r="H10" s="226"/>
      <c r="I10" s="226"/>
      <c r="J10" s="226"/>
      <c r="K10" s="226"/>
      <c r="L10" s="226"/>
      <c r="M10" s="226"/>
    </row>
    <row r="11" spans="1:58">
      <c r="A11" s="225" t="s">
        <v>16</v>
      </c>
      <c r="N11" s="5" t="s">
        <v>41</v>
      </c>
      <c r="T11" s="5" t="s">
        <v>197</v>
      </c>
    </row>
    <row r="12" spans="1:58" ht="15.75" thickBot="1">
      <c r="A12" s="225" t="s">
        <v>16</v>
      </c>
      <c r="B12" s="14" t="s">
        <v>455</v>
      </c>
      <c r="C12" s="14"/>
      <c r="D12" s="14"/>
      <c r="F12" s="225">
        <f t="shared" ref="F12:L12" si="2">F$4</f>
        <v>2012</v>
      </c>
      <c r="G12" s="225">
        <f t="shared" si="2"/>
        <v>2015</v>
      </c>
      <c r="H12" s="225">
        <f t="shared" si="2"/>
        <v>2017</v>
      </c>
      <c r="I12" s="225">
        <f t="shared" si="2"/>
        <v>2020</v>
      </c>
      <c r="J12" s="225">
        <f t="shared" si="2"/>
        <v>2030</v>
      </c>
      <c r="K12" s="225">
        <f t="shared" si="2"/>
        <v>2040</v>
      </c>
      <c r="L12" s="225">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225" t="s">
        <v>16</v>
      </c>
      <c r="B13" s="226" t="str">
        <f>ITEMS_TRA!C15</f>
        <v>TFLCV</v>
      </c>
      <c r="C13" s="226" t="str">
        <f>ITEMS_TRA!D15</f>
        <v>Transport Freight - LCV</v>
      </c>
      <c r="D13" s="226"/>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72"/>
      <c r="T13" s="65">
        <f t="shared" ref="T13:X25" si="6">$G13</f>
        <v>0.8</v>
      </c>
      <c r="U13" s="65">
        <f t="shared" si="6"/>
        <v>0.8</v>
      </c>
      <c r="V13" s="65">
        <f t="shared" si="6"/>
        <v>0.8</v>
      </c>
      <c r="W13" s="65">
        <f t="shared" si="6"/>
        <v>0.8</v>
      </c>
      <c r="X13" s="65">
        <f t="shared" si="6"/>
        <v>0.8</v>
      </c>
      <c r="Y13" s="272"/>
      <c r="Z13" s="272"/>
      <c r="AA13" s="272"/>
      <c r="AB13" s="272"/>
      <c r="AC13" s="272"/>
      <c r="AD13" s="272"/>
      <c r="AE13" s="272"/>
      <c r="AF13" s="272"/>
      <c r="AG13" s="272"/>
      <c r="AH13" s="272"/>
      <c r="AI13" s="272"/>
      <c r="AJ13" s="272"/>
      <c r="AK13" s="272"/>
      <c r="AL13" s="272"/>
      <c r="AM13" s="272"/>
      <c r="AN13" s="272"/>
      <c r="AO13" s="272"/>
      <c r="AP13" s="272"/>
      <c r="AQ13" s="272"/>
      <c r="AR13" s="272"/>
    </row>
    <row r="14" spans="1:58">
      <c r="A14" s="225" t="s">
        <v>16</v>
      </c>
      <c r="B14" s="226" t="str">
        <f>ITEMS_TRA!C16</f>
        <v>TFHCV1</v>
      </c>
      <c r="C14" s="226" t="str">
        <f>ITEMS_TRA!D16</f>
        <v>Transport Freight - HCV1</v>
      </c>
      <c r="D14" s="226"/>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72"/>
      <c r="T14" s="65">
        <f t="shared" si="6"/>
        <v>0.8</v>
      </c>
      <c r="U14" s="65">
        <f t="shared" si="6"/>
        <v>0.8</v>
      </c>
      <c r="V14" s="65">
        <f t="shared" si="6"/>
        <v>0.8</v>
      </c>
      <c r="W14" s="65">
        <f t="shared" si="6"/>
        <v>0.8</v>
      </c>
      <c r="X14" s="65">
        <f t="shared" si="6"/>
        <v>0.8</v>
      </c>
      <c r="Y14" s="272"/>
      <c r="Z14" s="272"/>
      <c r="AA14" s="272"/>
      <c r="AB14" s="272"/>
      <c r="AC14" s="272"/>
      <c r="AD14" s="272"/>
      <c r="AE14" s="272"/>
      <c r="AF14" s="272"/>
      <c r="AG14" s="272"/>
      <c r="AH14" s="272"/>
      <c r="AI14" s="272"/>
      <c r="AJ14" s="272"/>
      <c r="AK14" s="272"/>
      <c r="AL14" s="272"/>
      <c r="AM14" s="272"/>
      <c r="AN14" s="272"/>
      <c r="AO14" s="272"/>
      <c r="AP14" s="272"/>
      <c r="AQ14" s="272"/>
      <c r="AR14" s="272"/>
    </row>
    <row r="15" spans="1:58">
      <c r="A15" s="225" t="s">
        <v>16</v>
      </c>
      <c r="B15" s="226" t="str">
        <f>ITEMS_TRA!C17</f>
        <v>TFHCV2</v>
      </c>
      <c r="C15" s="226" t="str">
        <f>ITEMS_TRA!D17</f>
        <v>Transport Freight - HCV2</v>
      </c>
      <c r="D15" s="226"/>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72"/>
      <c r="T15" s="65">
        <f t="shared" si="6"/>
        <v>0.8</v>
      </c>
      <c r="U15" s="65">
        <f t="shared" si="6"/>
        <v>0.8</v>
      </c>
      <c r="V15" s="65">
        <f t="shared" si="6"/>
        <v>0.8</v>
      </c>
      <c r="W15" s="65">
        <f t="shared" si="6"/>
        <v>0.8</v>
      </c>
      <c r="X15" s="65">
        <f t="shared" si="6"/>
        <v>0.8</v>
      </c>
      <c r="Y15" s="272"/>
      <c r="Z15" s="272"/>
      <c r="AA15" s="272"/>
      <c r="AB15" s="272"/>
      <c r="AC15" s="272"/>
      <c r="AD15" s="272"/>
      <c r="AE15" s="272"/>
      <c r="AF15" s="272"/>
      <c r="AG15" s="272"/>
      <c r="AH15" s="272"/>
      <c r="AI15" s="272"/>
      <c r="AJ15" s="272"/>
      <c r="AK15" s="272"/>
      <c r="AL15" s="272"/>
      <c r="AM15" s="272"/>
      <c r="AN15" s="272"/>
      <c r="AO15" s="272"/>
      <c r="AP15" s="272"/>
      <c r="AQ15" s="272"/>
      <c r="AR15" s="272"/>
    </row>
    <row r="16" spans="1:58">
      <c r="A16" s="225" t="s">
        <v>16</v>
      </c>
      <c r="B16" s="226" t="str">
        <f>ITEMS_TRA!C18</f>
        <v>TFHCV3</v>
      </c>
      <c r="C16" s="226" t="str">
        <f>ITEMS_TRA!D18</f>
        <v>Transport Freight - HCV3</v>
      </c>
      <c r="D16" s="226"/>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72"/>
      <c r="T16" s="65">
        <f t="shared" si="6"/>
        <v>0.8</v>
      </c>
      <c r="U16" s="65">
        <f t="shared" si="6"/>
        <v>0.8</v>
      </c>
      <c r="V16" s="65">
        <f t="shared" si="6"/>
        <v>0.8</v>
      </c>
      <c r="W16" s="65">
        <f t="shared" si="6"/>
        <v>0.8</v>
      </c>
      <c r="X16" s="65">
        <f t="shared" si="6"/>
        <v>0.8</v>
      </c>
      <c r="Y16" s="272"/>
      <c r="Z16" s="272"/>
      <c r="AA16" s="272"/>
      <c r="AB16" s="272"/>
      <c r="AC16" s="272"/>
      <c r="AD16" s="272"/>
      <c r="AE16" s="272"/>
      <c r="AF16" s="272"/>
      <c r="AG16" s="272"/>
      <c r="AH16" s="272"/>
      <c r="AI16" s="272"/>
      <c r="AJ16" s="272"/>
      <c r="AK16" s="272"/>
      <c r="AL16" s="272"/>
      <c r="AM16" s="272"/>
      <c r="AN16" s="272"/>
      <c r="AO16" s="272"/>
      <c r="AP16" s="272"/>
      <c r="AQ16" s="272"/>
      <c r="AR16" s="272"/>
    </row>
    <row r="17" spans="1:44">
      <c r="A17" s="225" t="s">
        <v>16</v>
      </c>
      <c r="B17" s="226" t="str">
        <f>ITEMS_TRA!C19</f>
        <v>TFHCV4</v>
      </c>
      <c r="C17" s="226" t="str">
        <f>ITEMS_TRA!D19</f>
        <v>Transport Freight - HCV4</v>
      </c>
      <c r="D17" s="226"/>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72"/>
      <c r="T17" s="65">
        <f t="shared" si="6"/>
        <v>0.8</v>
      </c>
      <c r="U17" s="65">
        <f t="shared" si="6"/>
        <v>0.8</v>
      </c>
      <c r="V17" s="65">
        <f t="shared" si="6"/>
        <v>0.8</v>
      </c>
      <c r="W17" s="65">
        <f t="shared" si="6"/>
        <v>0.8</v>
      </c>
      <c r="X17" s="65">
        <f t="shared" si="6"/>
        <v>0.8</v>
      </c>
      <c r="Y17" s="272"/>
      <c r="Z17" s="272"/>
      <c r="AA17" s="272"/>
      <c r="AB17" s="272"/>
      <c r="AC17" s="272"/>
      <c r="AD17" s="272"/>
      <c r="AE17" s="272"/>
      <c r="AF17" s="272"/>
      <c r="AG17" s="272"/>
      <c r="AH17" s="272"/>
      <c r="AI17" s="272"/>
      <c r="AJ17" s="272"/>
      <c r="AK17" s="272"/>
      <c r="AL17" s="272"/>
      <c r="AM17" s="272"/>
      <c r="AN17" s="272"/>
      <c r="AO17" s="272"/>
      <c r="AP17" s="272"/>
      <c r="AQ17" s="272"/>
      <c r="AR17" s="272"/>
    </row>
    <row r="18" spans="1:44">
      <c r="A18" s="225" t="s">
        <v>16</v>
      </c>
      <c r="B18" s="226" t="str">
        <f>ITEMS_TRA!C20</f>
        <v>TFHCV5</v>
      </c>
      <c r="C18" s="226" t="str">
        <f>ITEMS_TRA!D20</f>
        <v>Transport Freight - HCV5</v>
      </c>
      <c r="D18" s="226"/>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72"/>
      <c r="T18" s="65">
        <f t="shared" si="6"/>
        <v>0.8</v>
      </c>
      <c r="U18" s="65">
        <f t="shared" si="6"/>
        <v>0.8</v>
      </c>
      <c r="V18" s="65">
        <f t="shared" si="6"/>
        <v>0.8</v>
      </c>
      <c r="W18" s="65">
        <f t="shared" si="6"/>
        <v>0.8</v>
      </c>
      <c r="X18" s="65">
        <f t="shared" si="6"/>
        <v>0.8</v>
      </c>
      <c r="Y18" s="272"/>
      <c r="Z18" s="272"/>
      <c r="AA18" s="272"/>
      <c r="AB18" s="272"/>
      <c r="AC18" s="272"/>
      <c r="AD18" s="272"/>
      <c r="AE18" s="272"/>
      <c r="AF18" s="272"/>
      <c r="AG18" s="272"/>
      <c r="AH18" s="272"/>
      <c r="AI18" s="272"/>
      <c r="AJ18" s="272"/>
      <c r="AK18" s="272"/>
      <c r="AL18" s="272"/>
      <c r="AM18" s="272"/>
      <c r="AN18" s="272"/>
      <c r="AO18" s="272"/>
      <c r="AP18" s="272"/>
      <c r="AQ18" s="272"/>
      <c r="AR18" s="272"/>
    </row>
    <row r="19" spans="1:44">
      <c r="A19" s="225" t="s">
        <v>16</v>
      </c>
      <c r="B19" s="226" t="str">
        <f>ITEMS_TRA!C21</f>
        <v>TFHCV6</v>
      </c>
      <c r="C19" s="226" t="str">
        <f>ITEMS_TRA!D21</f>
        <v>Transport Freight - HCV6</v>
      </c>
      <c r="D19" s="226"/>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72"/>
      <c r="T19" s="65">
        <f t="shared" si="6"/>
        <v>0.8</v>
      </c>
      <c r="U19" s="65">
        <f t="shared" si="6"/>
        <v>0.8</v>
      </c>
      <c r="V19" s="65">
        <f t="shared" si="6"/>
        <v>0.8</v>
      </c>
      <c r="W19" s="65">
        <f t="shared" si="6"/>
        <v>0.8</v>
      </c>
      <c r="X19" s="65">
        <f t="shared" si="6"/>
        <v>0.8</v>
      </c>
      <c r="Y19" s="272"/>
      <c r="Z19" s="272"/>
      <c r="AA19" s="272"/>
      <c r="AB19" s="272"/>
      <c r="AC19" s="272"/>
      <c r="AD19" s="272"/>
      <c r="AE19" s="272"/>
      <c r="AF19" s="272"/>
      <c r="AG19" s="272"/>
      <c r="AH19" s="272"/>
      <c r="AI19" s="272"/>
      <c r="AJ19" s="272"/>
      <c r="AK19" s="272"/>
      <c r="AL19" s="272"/>
      <c r="AM19" s="272"/>
      <c r="AN19" s="272"/>
      <c r="AO19" s="272"/>
      <c r="AP19" s="272"/>
      <c r="AQ19" s="272"/>
      <c r="AR19" s="272"/>
    </row>
    <row r="20" spans="1:44">
      <c r="A20" s="225" t="s">
        <v>16</v>
      </c>
      <c r="B20" s="226" t="str">
        <f>ITEMS_TRA!C22</f>
        <v>TFHCV7</v>
      </c>
      <c r="C20" s="226" t="str">
        <f>ITEMS_TRA!D22</f>
        <v>Transport Freight - HCV7</v>
      </c>
      <c r="D20" s="226"/>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72"/>
      <c r="T20" s="65">
        <f t="shared" si="6"/>
        <v>0.8</v>
      </c>
      <c r="U20" s="65">
        <f t="shared" si="6"/>
        <v>0.8</v>
      </c>
      <c r="V20" s="65">
        <f t="shared" si="6"/>
        <v>0.8</v>
      </c>
      <c r="W20" s="65">
        <f t="shared" si="6"/>
        <v>0.8</v>
      </c>
      <c r="X20" s="65">
        <f t="shared" si="6"/>
        <v>0.8</v>
      </c>
      <c r="Y20" s="272"/>
      <c r="Z20" s="272"/>
      <c r="AA20" s="272"/>
      <c r="AB20" s="272"/>
      <c r="AC20" s="272"/>
      <c r="AD20" s="272"/>
      <c r="AE20" s="272"/>
      <c r="AF20" s="272"/>
      <c r="AG20" s="272"/>
      <c r="AH20" s="272"/>
      <c r="AI20" s="272"/>
      <c r="AJ20" s="272"/>
      <c r="AK20" s="272"/>
      <c r="AL20" s="272"/>
      <c r="AM20" s="272"/>
      <c r="AN20" s="272"/>
      <c r="AO20" s="272"/>
      <c r="AP20" s="272"/>
      <c r="AQ20" s="272"/>
      <c r="AR20" s="272"/>
    </row>
    <row r="21" spans="1:44">
      <c r="A21" s="225" t="s">
        <v>16</v>
      </c>
      <c r="B21" s="226" t="str">
        <f>ITEMS_TRA!C23</f>
        <v>TFHCV8</v>
      </c>
      <c r="C21" s="226" t="str">
        <f>ITEMS_TRA!D23</f>
        <v>Transport Freight - HCV8</v>
      </c>
      <c r="D21" s="226"/>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72"/>
      <c r="T21" s="65">
        <f t="shared" si="6"/>
        <v>0.8</v>
      </c>
      <c r="U21" s="65">
        <f t="shared" si="6"/>
        <v>0.8</v>
      </c>
      <c r="V21" s="65">
        <f t="shared" si="6"/>
        <v>0.8</v>
      </c>
      <c r="W21" s="65">
        <f t="shared" si="6"/>
        <v>0.8</v>
      </c>
      <c r="X21" s="65">
        <f t="shared" si="6"/>
        <v>0.8</v>
      </c>
      <c r="Y21" s="272"/>
      <c r="Z21" s="272"/>
      <c r="AA21" s="272"/>
      <c r="AB21" s="272"/>
      <c r="AC21" s="272"/>
      <c r="AD21" s="272"/>
      <c r="AE21" s="272"/>
      <c r="AF21" s="272"/>
      <c r="AG21" s="272"/>
      <c r="AH21" s="272"/>
      <c r="AI21" s="272"/>
      <c r="AJ21" s="272"/>
      <c r="AK21" s="272"/>
      <c r="AL21" s="272"/>
      <c r="AM21" s="272"/>
      <c r="AN21" s="272"/>
      <c r="AO21" s="272"/>
      <c r="AP21" s="272"/>
      <c r="AQ21" s="272"/>
      <c r="AR21" s="272"/>
    </row>
    <row r="22" spans="1:44">
      <c r="A22" s="225" t="s">
        <v>16</v>
      </c>
      <c r="B22" s="226" t="str">
        <f>ITEMS_TRA!C24</f>
        <v>TFHCV9</v>
      </c>
      <c r="C22" s="226" t="str">
        <f>ITEMS_TRA!D24</f>
        <v>Transport Freight - HCV9</v>
      </c>
      <c r="D22" s="226"/>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72"/>
      <c r="T22" s="65">
        <f t="shared" si="6"/>
        <v>0.8</v>
      </c>
      <c r="U22" s="47">
        <f t="shared" ref="U22:W25" si="10">T22</f>
        <v>0.8</v>
      </c>
      <c r="V22" s="47">
        <f t="shared" si="10"/>
        <v>0.8</v>
      </c>
      <c r="W22" s="47">
        <f t="shared" si="10"/>
        <v>0.8</v>
      </c>
      <c r="X22" s="65">
        <f t="shared" si="6"/>
        <v>0.8</v>
      </c>
      <c r="Y22" s="272"/>
      <c r="Z22" s="272"/>
      <c r="AA22" s="272"/>
      <c r="AB22" s="272"/>
      <c r="AC22" s="272"/>
      <c r="AD22" s="272"/>
      <c r="AE22" s="272"/>
      <c r="AF22" s="272"/>
      <c r="AG22" s="272"/>
      <c r="AH22" s="272"/>
      <c r="AI22" s="272"/>
      <c r="AJ22" s="272"/>
      <c r="AK22" s="272"/>
      <c r="AL22" s="272"/>
      <c r="AM22" s="272"/>
      <c r="AN22" s="272"/>
      <c r="AO22" s="272"/>
      <c r="AP22" s="272"/>
      <c r="AQ22" s="272"/>
      <c r="AR22" s="272"/>
    </row>
    <row r="23" spans="1:44">
      <c r="A23" s="225" t="s">
        <v>16</v>
      </c>
      <c r="B23" s="226" t="str">
        <f>ITEMS_TRA!C25</f>
        <v>TFRCO</v>
      </c>
      <c r="C23" s="226" t="str">
        <f>ITEMS_TRA!D25</f>
        <v>Transport Freight - Rail Corridor</v>
      </c>
      <c r="D23" s="226"/>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72"/>
      <c r="T23" s="65">
        <f t="shared" si="6"/>
        <v>0.8</v>
      </c>
      <c r="U23" s="47">
        <f t="shared" si="10"/>
        <v>0.8</v>
      </c>
      <c r="V23" s="47">
        <f t="shared" si="10"/>
        <v>0.8</v>
      </c>
      <c r="W23" s="47">
        <f t="shared" si="10"/>
        <v>0.8</v>
      </c>
      <c r="X23" s="65">
        <f t="shared" si="6"/>
        <v>0.8</v>
      </c>
      <c r="Y23" s="272"/>
      <c r="Z23" s="272"/>
      <c r="AA23" s="272"/>
      <c r="AB23" s="272"/>
      <c r="AC23" s="272"/>
      <c r="AD23" s="272"/>
      <c r="AE23" s="272"/>
      <c r="AF23" s="272"/>
      <c r="AG23" s="272"/>
      <c r="AH23" s="272"/>
      <c r="AI23" s="272"/>
      <c r="AJ23" s="272"/>
      <c r="AK23" s="272"/>
      <c r="AL23" s="272"/>
      <c r="AM23" s="272"/>
      <c r="AN23" s="272"/>
      <c r="AO23" s="272"/>
      <c r="AP23" s="272"/>
      <c r="AQ23" s="272"/>
      <c r="AR23" s="272"/>
    </row>
    <row r="24" spans="1:44">
      <c r="A24" s="225" t="s">
        <v>16</v>
      </c>
      <c r="B24" s="226" t="str">
        <f>ITEMS_TRA!C26</f>
        <v>TFROT</v>
      </c>
      <c r="C24" s="226"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72"/>
      <c r="T24" s="65">
        <f t="shared" si="6"/>
        <v>0.8</v>
      </c>
      <c r="U24" s="47">
        <f t="shared" si="10"/>
        <v>0.8</v>
      </c>
      <c r="V24" s="47">
        <f t="shared" si="10"/>
        <v>0.8</v>
      </c>
      <c r="W24" s="47">
        <f t="shared" si="10"/>
        <v>0.8</v>
      </c>
      <c r="X24" s="65">
        <f t="shared" si="6"/>
        <v>0.8</v>
      </c>
      <c r="Y24" s="272"/>
      <c r="Z24" s="272"/>
      <c r="AA24" s="272"/>
      <c r="AB24" s="272"/>
      <c r="AC24" s="272"/>
      <c r="AD24" s="272"/>
      <c r="AE24" s="272"/>
      <c r="AF24" s="272"/>
      <c r="AG24" s="272"/>
      <c r="AH24" s="272"/>
      <c r="AI24" s="272"/>
      <c r="AJ24" s="272"/>
      <c r="AK24" s="272"/>
      <c r="AL24" s="272"/>
      <c r="AM24" s="272"/>
      <c r="AN24" s="272"/>
      <c r="AO24" s="272"/>
      <c r="AP24" s="272"/>
      <c r="AQ24" s="272"/>
      <c r="AR24" s="272"/>
    </row>
    <row r="25" spans="1:44">
      <c r="A25" s="225" t="s">
        <v>16</v>
      </c>
      <c r="B25" s="226" t="str">
        <f>ITEMS_TRA!C27</f>
        <v>TFREX</v>
      </c>
      <c r="C25" s="226"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72"/>
      <c r="T25" s="65">
        <f t="shared" si="6"/>
        <v>0.8</v>
      </c>
      <c r="U25" s="47">
        <f t="shared" si="10"/>
        <v>0.8</v>
      </c>
      <c r="V25" s="47">
        <f t="shared" si="10"/>
        <v>0.8</v>
      </c>
      <c r="W25" s="47">
        <f t="shared" si="10"/>
        <v>0.8</v>
      </c>
      <c r="X25" s="65">
        <f t="shared" si="6"/>
        <v>0.8</v>
      </c>
      <c r="Y25" s="272"/>
      <c r="Z25" s="272"/>
      <c r="AA25" s="272"/>
      <c r="AB25" s="272"/>
      <c r="AC25" s="272"/>
      <c r="AD25" s="272"/>
      <c r="AE25" s="272"/>
      <c r="AF25" s="272"/>
      <c r="AG25" s="272"/>
      <c r="AH25" s="272"/>
      <c r="AI25" s="272"/>
      <c r="AJ25" s="272"/>
      <c r="AK25" s="272"/>
      <c r="AL25" s="272"/>
      <c r="AM25" s="272"/>
      <c r="AN25" s="272"/>
      <c r="AO25" s="272"/>
      <c r="AP25" s="272"/>
      <c r="AQ25" s="272"/>
      <c r="AR25" s="272"/>
    </row>
    <row r="26" spans="1:44">
      <c r="A26" s="225" t="s">
        <v>16</v>
      </c>
      <c r="B26" s="226"/>
      <c r="C26" s="226"/>
      <c r="N26" s="226"/>
      <c r="O26" s="226"/>
      <c r="P26" s="226"/>
      <c r="Q26" s="226"/>
      <c r="R26" s="226"/>
      <c r="S26" s="226"/>
      <c r="T26" s="226"/>
      <c r="U26" s="226"/>
      <c r="V26" s="226"/>
      <c r="W26" s="226"/>
      <c r="X26" s="226"/>
      <c r="Y26" s="226"/>
      <c r="Z26" s="226"/>
      <c r="AA26" s="226"/>
      <c r="AB26" s="226"/>
      <c r="AC26" s="226"/>
      <c r="AD26" s="226"/>
      <c r="AE26" s="226"/>
      <c r="AF26" s="226"/>
      <c r="AG26" s="226"/>
      <c r="AH26" s="226"/>
      <c r="AI26" s="226"/>
      <c r="AJ26" s="226"/>
      <c r="AK26" s="226"/>
      <c r="AL26" s="226"/>
      <c r="AM26" s="226"/>
      <c r="AN26" s="226"/>
      <c r="AO26" s="226"/>
      <c r="AP26" s="226"/>
      <c r="AQ26" s="226"/>
      <c r="AR26" s="226"/>
    </row>
    <row r="27" spans="1:44" ht="15.75" thickBot="1">
      <c r="A27" s="225" t="s">
        <v>16</v>
      </c>
      <c r="B27" s="14" t="s">
        <v>153</v>
      </c>
      <c r="C27" s="14"/>
      <c r="D27" s="222">
        <f>INDEX($BD$4:$BD$7,MATCH($D$3,$BA$4:$BA$7,0))</f>
        <v>0.95</v>
      </c>
    </row>
    <row r="28" spans="1:44">
      <c r="A28" s="225" t="s">
        <v>16</v>
      </c>
      <c r="B28" s="226" t="str">
        <f>B15</f>
        <v>TFHCV2</v>
      </c>
      <c r="C28" s="226" t="str">
        <f>C15</f>
        <v>Transport Freight - HCV2</v>
      </c>
      <c r="D28" s="225" t="s">
        <v>48</v>
      </c>
      <c r="F28" s="273">
        <f>F51/F$60</f>
        <v>1.4220434532326132E-2</v>
      </c>
      <c r="G28" s="66">
        <f t="shared" ref="G28:H35" si="11">F28</f>
        <v>1.4220434532326132E-2</v>
      </c>
      <c r="H28" s="66">
        <f t="shared" si="11"/>
        <v>1.4220434532326132E-2</v>
      </c>
      <c r="I28" s="66">
        <f>IF($D$4,U28,O28)</f>
        <v>1.4220434532326132E-2</v>
      </c>
      <c r="J28" s="66">
        <f>IF($D$4,V28,P28)</f>
        <v>1.4220434532326132E-2</v>
      </c>
      <c r="K28" s="66">
        <f>IF($D$4,W28,Q28)</f>
        <v>1.4220434532326132E-2</v>
      </c>
      <c r="L28" s="66">
        <f>IF($D$4,X28,R28)</f>
        <v>1.4220434532326132E-2</v>
      </c>
      <c r="N28" s="274">
        <f>$G28</f>
        <v>1.4220434532326132E-2</v>
      </c>
      <c r="O28" s="35">
        <f>N28</f>
        <v>1.4220434532326132E-2</v>
      </c>
      <c r="P28" s="35">
        <f>O28</f>
        <v>1.4220434532326132E-2</v>
      </c>
      <c r="Q28" s="35">
        <f>P28</f>
        <v>1.4220434532326132E-2</v>
      </c>
      <c r="R28" s="35">
        <f>P28</f>
        <v>1.4220434532326132E-2</v>
      </c>
      <c r="S28" s="275"/>
      <c r="T28" s="274">
        <f>$G28</f>
        <v>1.4220434532326132E-2</v>
      </c>
      <c r="U28" s="77">
        <f>T28*$D$27</f>
        <v>1.3509412805709824E-2</v>
      </c>
      <c r="V28" s="77">
        <f t="shared" ref="V28:X35" si="12">IF(INDEX($BE$4:$BE$7,MATCH($D$3,$BA$4:$BA$7,0)),U28*$D$27,U28)</f>
        <v>1.2833942165424331E-2</v>
      </c>
      <c r="W28" s="77">
        <f t="shared" si="12"/>
        <v>1.2192245057153115E-2</v>
      </c>
      <c r="X28" s="77">
        <f t="shared" si="12"/>
        <v>1.1582632804295459E-2</v>
      </c>
      <c r="Y28" s="275"/>
      <c r="Z28" s="275"/>
      <c r="AA28" s="275"/>
      <c r="AB28" s="275"/>
      <c r="AC28" s="275"/>
      <c r="AD28" s="275"/>
      <c r="AE28" s="275"/>
      <c r="AF28" s="275"/>
      <c r="AG28" s="275"/>
      <c r="AH28" s="275"/>
      <c r="AI28" s="275"/>
      <c r="AJ28" s="275"/>
      <c r="AK28" s="275"/>
      <c r="AL28" s="275"/>
      <c r="AM28" s="275"/>
      <c r="AN28" s="275"/>
      <c r="AO28" s="275"/>
      <c r="AP28" s="275"/>
      <c r="AQ28" s="275"/>
      <c r="AR28" s="275"/>
    </row>
    <row r="29" spans="1:44">
      <c r="A29" s="225" t="s">
        <v>16</v>
      </c>
      <c r="B29" s="226" t="str">
        <f t="shared" ref="B29:C35" si="13">B16</f>
        <v>TFHCV3</v>
      </c>
      <c r="C29" s="226" t="str">
        <f t="shared" si="13"/>
        <v>Transport Freight - HCV3</v>
      </c>
      <c r="F29" s="273">
        <f>F52/F$60</f>
        <v>9.0893720878787748E-2</v>
      </c>
      <c r="G29" s="66">
        <f t="shared" si="11"/>
        <v>9.0893720878787748E-2</v>
      </c>
      <c r="H29" s="66">
        <f t="shared" si="11"/>
        <v>9.0893720878787748E-2</v>
      </c>
      <c r="I29" s="66">
        <f t="shared" ref="I29:L35" si="14">IF($D$4,U29,O29)</f>
        <v>9.0893720878787748E-2</v>
      </c>
      <c r="J29" s="66">
        <f t="shared" si="14"/>
        <v>9.0893720878787748E-2</v>
      </c>
      <c r="K29" s="66">
        <f t="shared" si="14"/>
        <v>9.0893720878787748E-2</v>
      </c>
      <c r="L29" s="66">
        <f t="shared" si="14"/>
        <v>9.0893720878787748E-2</v>
      </c>
      <c r="N29" s="274">
        <f t="shared" ref="N29:N35" si="15">$G29</f>
        <v>9.0893720878787748E-2</v>
      </c>
      <c r="O29" s="35">
        <f t="shared" ref="O29:Q35" si="16">N29</f>
        <v>9.0893720878787748E-2</v>
      </c>
      <c r="P29" s="35">
        <f t="shared" si="16"/>
        <v>9.0893720878787748E-2</v>
      </c>
      <c r="Q29" s="35">
        <f t="shared" si="16"/>
        <v>9.0893720878787748E-2</v>
      </c>
      <c r="R29" s="35">
        <f t="shared" ref="R29:R35" si="17">P29</f>
        <v>9.0893720878787748E-2</v>
      </c>
      <c r="S29" s="275"/>
      <c r="T29" s="274">
        <f t="shared" ref="T29:T35" si="18">$G29</f>
        <v>9.0893720878787748E-2</v>
      </c>
      <c r="U29" s="77">
        <f t="shared" ref="U29:U35" si="19">T29*$D$27</f>
        <v>8.6349034834848362E-2</v>
      </c>
      <c r="V29" s="77">
        <f t="shared" si="12"/>
        <v>8.2031583093105945E-2</v>
      </c>
      <c r="W29" s="77">
        <f t="shared" si="12"/>
        <v>7.7930003938450648E-2</v>
      </c>
      <c r="X29" s="77">
        <f t="shared" si="12"/>
        <v>7.4033503741528117E-2</v>
      </c>
      <c r="Y29" s="275"/>
      <c r="Z29" s="275"/>
      <c r="AA29" s="275"/>
      <c r="AB29" s="275"/>
      <c r="AC29" s="275"/>
      <c r="AD29" s="275"/>
      <c r="AE29" s="275"/>
      <c r="AF29" s="275"/>
      <c r="AG29" s="275"/>
      <c r="AH29" s="275"/>
      <c r="AI29" s="275"/>
      <c r="AJ29" s="275"/>
      <c r="AK29" s="275"/>
      <c r="AL29" s="275"/>
      <c r="AM29" s="275"/>
      <c r="AN29" s="275"/>
      <c r="AO29" s="275"/>
      <c r="AP29" s="275"/>
      <c r="AQ29" s="275"/>
      <c r="AR29" s="275"/>
    </row>
    <row r="30" spans="1:44">
      <c r="A30" s="225" t="s">
        <v>16</v>
      </c>
      <c r="B30" s="226" t="str">
        <f t="shared" si="13"/>
        <v>TFHCV4</v>
      </c>
      <c r="C30" s="226" t="str">
        <f t="shared" si="13"/>
        <v>Transport Freight - HCV4</v>
      </c>
      <c r="F30" s="273">
        <f t="shared" ref="F30:F36" si="20">F53/F$60</f>
        <v>2.9729785023252794E-2</v>
      </c>
      <c r="G30" s="66">
        <f t="shared" si="11"/>
        <v>2.9729785023252794E-2</v>
      </c>
      <c r="H30" s="66">
        <f t="shared" si="11"/>
        <v>2.9729785023252794E-2</v>
      </c>
      <c r="I30" s="66">
        <f t="shared" si="14"/>
        <v>2.9729785023252794E-2</v>
      </c>
      <c r="J30" s="66">
        <f t="shared" si="14"/>
        <v>2.9729785023252794E-2</v>
      </c>
      <c r="K30" s="66">
        <f t="shared" si="14"/>
        <v>2.9729785023252794E-2</v>
      </c>
      <c r="L30" s="66">
        <f t="shared" si="14"/>
        <v>2.9729785023252794E-2</v>
      </c>
      <c r="N30" s="274">
        <f t="shared" si="15"/>
        <v>2.9729785023252794E-2</v>
      </c>
      <c r="O30" s="35">
        <f t="shared" si="16"/>
        <v>2.9729785023252794E-2</v>
      </c>
      <c r="P30" s="35">
        <f t="shared" si="16"/>
        <v>2.9729785023252794E-2</v>
      </c>
      <c r="Q30" s="35">
        <f t="shared" si="16"/>
        <v>2.9729785023252794E-2</v>
      </c>
      <c r="R30" s="35">
        <f t="shared" si="17"/>
        <v>2.9729785023252794E-2</v>
      </c>
      <c r="S30" s="275"/>
      <c r="T30" s="274">
        <f t="shared" si="18"/>
        <v>2.9729785023252794E-2</v>
      </c>
      <c r="U30" s="77">
        <f t="shared" si="19"/>
        <v>2.8243295772090154E-2</v>
      </c>
      <c r="V30" s="77">
        <f t="shared" si="12"/>
        <v>2.6831130983485645E-2</v>
      </c>
      <c r="W30" s="77">
        <f t="shared" si="12"/>
        <v>2.5489574434311362E-2</v>
      </c>
      <c r="X30" s="77">
        <f t="shared" si="12"/>
        <v>2.4215095712595794E-2</v>
      </c>
      <c r="Y30" s="275"/>
      <c r="Z30" s="275"/>
      <c r="AA30" s="275"/>
      <c r="AB30" s="275"/>
      <c r="AC30" s="275"/>
      <c r="AD30" s="275"/>
      <c r="AE30" s="275"/>
      <c r="AF30" s="275"/>
      <c r="AG30" s="275"/>
      <c r="AH30" s="275"/>
      <c r="AI30" s="275"/>
      <c r="AJ30" s="275"/>
      <c r="AK30" s="275"/>
      <c r="AL30" s="275"/>
      <c r="AM30" s="275"/>
      <c r="AN30" s="275"/>
      <c r="AO30" s="275"/>
      <c r="AP30" s="275"/>
      <c r="AQ30" s="275"/>
      <c r="AR30" s="275"/>
    </row>
    <row r="31" spans="1:44">
      <c r="A31" s="225" t="s">
        <v>16</v>
      </c>
      <c r="B31" s="226" t="str">
        <f t="shared" si="13"/>
        <v>TFHCV5</v>
      </c>
      <c r="C31" s="226" t="str">
        <f t="shared" si="13"/>
        <v>Transport Freight - HCV5</v>
      </c>
      <c r="F31" s="273">
        <f t="shared" si="20"/>
        <v>1.7744085230150086E-2</v>
      </c>
      <c r="G31" s="66">
        <f t="shared" si="11"/>
        <v>1.7744085230150086E-2</v>
      </c>
      <c r="H31" s="66">
        <f t="shared" si="11"/>
        <v>1.7744085230150086E-2</v>
      </c>
      <c r="I31" s="66">
        <f t="shared" si="14"/>
        <v>1.7744085230150086E-2</v>
      </c>
      <c r="J31" s="66">
        <f t="shared" si="14"/>
        <v>1.7744085230150086E-2</v>
      </c>
      <c r="K31" s="66">
        <f t="shared" si="14"/>
        <v>1.7744085230150086E-2</v>
      </c>
      <c r="L31" s="66">
        <f t="shared" si="14"/>
        <v>1.7744085230150086E-2</v>
      </c>
      <c r="N31" s="274">
        <f t="shared" si="15"/>
        <v>1.7744085230150086E-2</v>
      </c>
      <c r="O31" s="35">
        <f t="shared" si="16"/>
        <v>1.7744085230150086E-2</v>
      </c>
      <c r="P31" s="35">
        <f t="shared" si="16"/>
        <v>1.7744085230150086E-2</v>
      </c>
      <c r="Q31" s="35">
        <f t="shared" si="16"/>
        <v>1.7744085230150086E-2</v>
      </c>
      <c r="R31" s="35">
        <f t="shared" si="17"/>
        <v>1.7744085230150086E-2</v>
      </c>
      <c r="S31" s="275"/>
      <c r="T31" s="274">
        <f t="shared" si="18"/>
        <v>1.7744085230150086E-2</v>
      </c>
      <c r="U31" s="77">
        <f t="shared" si="19"/>
        <v>1.6856880968642581E-2</v>
      </c>
      <c r="V31" s="77">
        <f t="shared" si="12"/>
        <v>1.6014036920210452E-2</v>
      </c>
      <c r="W31" s="77">
        <f t="shared" si="12"/>
        <v>1.5213335074199929E-2</v>
      </c>
      <c r="X31" s="77">
        <f t="shared" si="12"/>
        <v>1.4452668320489932E-2</v>
      </c>
      <c r="Y31" s="275"/>
      <c r="Z31" s="275"/>
      <c r="AA31" s="275"/>
      <c r="AB31" s="275"/>
      <c r="AC31" s="275"/>
      <c r="AD31" s="275"/>
      <c r="AE31" s="275"/>
      <c r="AF31" s="275"/>
      <c r="AG31" s="275"/>
      <c r="AH31" s="275"/>
      <c r="AI31" s="275"/>
      <c r="AJ31" s="275"/>
      <c r="AK31" s="275"/>
      <c r="AL31" s="275"/>
      <c r="AM31" s="275"/>
      <c r="AN31" s="275"/>
      <c r="AO31" s="275"/>
      <c r="AP31" s="275"/>
      <c r="AQ31" s="275"/>
      <c r="AR31" s="275"/>
    </row>
    <row r="32" spans="1:44">
      <c r="A32" s="225" t="s">
        <v>16</v>
      </c>
      <c r="B32" s="226" t="str">
        <f t="shared" si="13"/>
        <v>TFHCV6</v>
      </c>
      <c r="C32" s="226" t="str">
        <f t="shared" si="13"/>
        <v>Transport Freight - HCV6</v>
      </c>
      <c r="F32" s="273">
        <f t="shared" si="20"/>
        <v>0.45053689946184705</v>
      </c>
      <c r="G32" s="66">
        <f t="shared" si="11"/>
        <v>0.45053689946184705</v>
      </c>
      <c r="H32" s="66">
        <f t="shared" si="11"/>
        <v>0.45053689946184705</v>
      </c>
      <c r="I32" s="66">
        <f t="shared" si="14"/>
        <v>0.45053689946184705</v>
      </c>
      <c r="J32" s="66">
        <f t="shared" si="14"/>
        <v>0.45053689946184705</v>
      </c>
      <c r="K32" s="66">
        <f t="shared" si="14"/>
        <v>0.45053689946184705</v>
      </c>
      <c r="L32" s="66">
        <f t="shared" si="14"/>
        <v>0.45053689946184705</v>
      </c>
      <c r="N32" s="274">
        <f t="shared" si="15"/>
        <v>0.45053689946184705</v>
      </c>
      <c r="O32" s="35">
        <f t="shared" si="16"/>
        <v>0.45053689946184705</v>
      </c>
      <c r="P32" s="35">
        <f t="shared" si="16"/>
        <v>0.45053689946184705</v>
      </c>
      <c r="Q32" s="35">
        <f t="shared" si="16"/>
        <v>0.45053689946184705</v>
      </c>
      <c r="R32" s="35">
        <f t="shared" si="17"/>
        <v>0.45053689946184705</v>
      </c>
      <c r="S32" s="275"/>
      <c r="T32" s="274">
        <f t="shared" si="18"/>
        <v>0.45053689946184705</v>
      </c>
      <c r="U32" s="77">
        <f t="shared" si="19"/>
        <v>0.42801005448875468</v>
      </c>
      <c r="V32" s="77">
        <f t="shared" si="12"/>
        <v>0.4066095517643169</v>
      </c>
      <c r="W32" s="77">
        <f t="shared" si="12"/>
        <v>0.38627907417610102</v>
      </c>
      <c r="X32" s="77">
        <f t="shared" si="12"/>
        <v>0.36696512046729596</v>
      </c>
      <c r="Y32" s="275"/>
      <c r="Z32" s="275"/>
      <c r="AA32" s="275"/>
      <c r="AB32" s="275"/>
      <c r="AC32" s="275"/>
      <c r="AD32" s="275"/>
      <c r="AE32" s="275"/>
      <c r="AF32" s="275"/>
      <c r="AG32" s="275"/>
      <c r="AH32" s="275"/>
      <c r="AI32" s="275"/>
      <c r="AJ32" s="275"/>
      <c r="AK32" s="275"/>
      <c r="AL32" s="275"/>
      <c r="AM32" s="275"/>
      <c r="AN32" s="275"/>
      <c r="AO32" s="275"/>
      <c r="AP32" s="275"/>
      <c r="AQ32" s="275"/>
      <c r="AR32" s="275"/>
    </row>
    <row r="33" spans="1:44">
      <c r="A33" s="225" t="s">
        <v>16</v>
      </c>
      <c r="B33" s="226" t="str">
        <f t="shared" si="13"/>
        <v>TFHCV7</v>
      </c>
      <c r="C33" s="226" t="str">
        <f t="shared" si="13"/>
        <v>Transport Freight - HCV7</v>
      </c>
      <c r="F33" s="273">
        <f t="shared" si="20"/>
        <v>0.18933178301407438</v>
      </c>
      <c r="G33" s="66">
        <f t="shared" si="11"/>
        <v>0.18933178301407438</v>
      </c>
      <c r="H33" s="66">
        <f t="shared" si="11"/>
        <v>0.18933178301407438</v>
      </c>
      <c r="I33" s="66">
        <f t="shared" si="14"/>
        <v>0.18933178301407438</v>
      </c>
      <c r="J33" s="66">
        <f t="shared" si="14"/>
        <v>0.18933178301407438</v>
      </c>
      <c r="K33" s="66">
        <f t="shared" si="14"/>
        <v>0.18933178301407438</v>
      </c>
      <c r="L33" s="66">
        <f t="shared" si="14"/>
        <v>0.18933178301407438</v>
      </c>
      <c r="N33" s="274">
        <f t="shared" si="15"/>
        <v>0.18933178301407438</v>
      </c>
      <c r="O33" s="35">
        <f t="shared" si="16"/>
        <v>0.18933178301407438</v>
      </c>
      <c r="P33" s="35">
        <f t="shared" si="16"/>
        <v>0.18933178301407438</v>
      </c>
      <c r="Q33" s="35">
        <f t="shared" si="16"/>
        <v>0.18933178301407438</v>
      </c>
      <c r="R33" s="35">
        <f t="shared" si="17"/>
        <v>0.18933178301407438</v>
      </c>
      <c r="S33" s="275"/>
      <c r="T33" s="274">
        <f>$G33</f>
        <v>0.18933178301407438</v>
      </c>
      <c r="U33" s="77">
        <f t="shared" si="19"/>
        <v>0.17986519386337066</v>
      </c>
      <c r="V33" s="77">
        <f t="shared" si="12"/>
        <v>0.17087193417020211</v>
      </c>
      <c r="W33" s="77">
        <f t="shared" si="12"/>
        <v>0.16232833746169198</v>
      </c>
      <c r="X33" s="77">
        <f t="shared" si="12"/>
        <v>0.15421192058860736</v>
      </c>
      <c r="Y33" s="275"/>
      <c r="Z33" s="275"/>
      <c r="AA33" s="275"/>
      <c r="AB33" s="275"/>
      <c r="AC33" s="275"/>
      <c r="AD33" s="275"/>
      <c r="AE33" s="275"/>
      <c r="AF33" s="275"/>
      <c r="AG33" s="275"/>
      <c r="AH33" s="275"/>
      <c r="AI33" s="275"/>
      <c r="AJ33" s="275"/>
      <c r="AK33" s="275"/>
      <c r="AL33" s="275"/>
      <c r="AM33" s="275"/>
      <c r="AN33" s="275"/>
      <c r="AO33" s="275"/>
      <c r="AP33" s="275"/>
      <c r="AQ33" s="275"/>
      <c r="AR33" s="275"/>
    </row>
    <row r="34" spans="1:44">
      <c r="A34" s="225" t="s">
        <v>16</v>
      </c>
      <c r="B34" s="226" t="str">
        <f t="shared" si="13"/>
        <v>TFHCV8</v>
      </c>
      <c r="C34" s="226" t="str">
        <f t="shared" si="13"/>
        <v>Transport Freight - HCV8</v>
      </c>
      <c r="F34" s="273">
        <f t="shared" si="20"/>
        <v>8.9006864290389742E-3</v>
      </c>
      <c r="G34" s="66">
        <f t="shared" si="11"/>
        <v>8.9006864290389742E-3</v>
      </c>
      <c r="H34" s="66">
        <f t="shared" si="11"/>
        <v>8.9006864290389742E-3</v>
      </c>
      <c r="I34" s="66">
        <f t="shared" si="14"/>
        <v>8.9006864290389742E-3</v>
      </c>
      <c r="J34" s="66">
        <f t="shared" si="14"/>
        <v>8.9006864290389742E-3</v>
      </c>
      <c r="K34" s="66">
        <f t="shared" si="14"/>
        <v>8.9006864290389742E-3</v>
      </c>
      <c r="L34" s="66">
        <f t="shared" si="14"/>
        <v>8.9006864290389742E-3</v>
      </c>
      <c r="N34" s="274">
        <f t="shared" si="15"/>
        <v>8.9006864290389742E-3</v>
      </c>
      <c r="O34" s="35">
        <f t="shared" si="16"/>
        <v>8.9006864290389742E-3</v>
      </c>
      <c r="P34" s="35">
        <f t="shared" si="16"/>
        <v>8.9006864290389742E-3</v>
      </c>
      <c r="Q34" s="35">
        <f t="shared" si="16"/>
        <v>8.9006864290389742E-3</v>
      </c>
      <c r="R34" s="35">
        <f t="shared" si="17"/>
        <v>8.9006864290389742E-3</v>
      </c>
      <c r="S34" s="275"/>
      <c r="T34" s="274">
        <f t="shared" si="18"/>
        <v>8.9006864290389742E-3</v>
      </c>
      <c r="U34" s="77">
        <f t="shared" si="19"/>
        <v>8.4556521075870254E-3</v>
      </c>
      <c r="V34" s="77">
        <f t="shared" si="12"/>
        <v>8.0328695022076745E-3</v>
      </c>
      <c r="W34" s="77">
        <f t="shared" si="12"/>
        <v>7.6312260270972902E-3</v>
      </c>
      <c r="X34" s="77">
        <f t="shared" si="12"/>
        <v>7.2496647257424256E-3</v>
      </c>
      <c r="Y34" s="275"/>
      <c r="Z34" s="275"/>
      <c r="AA34" s="275"/>
      <c r="AB34" s="275"/>
      <c r="AC34" s="275"/>
      <c r="AD34" s="275"/>
      <c r="AE34" s="275"/>
      <c r="AF34" s="275"/>
      <c r="AG34" s="275"/>
      <c r="AH34" s="275"/>
      <c r="AI34" s="275"/>
      <c r="AJ34" s="275"/>
      <c r="AK34" s="275"/>
      <c r="AL34" s="275"/>
      <c r="AM34" s="275"/>
      <c r="AN34" s="275"/>
      <c r="AO34" s="275"/>
      <c r="AP34" s="275"/>
      <c r="AQ34" s="275"/>
      <c r="AR34" s="275"/>
    </row>
    <row r="35" spans="1:44">
      <c r="A35" s="225" t="s">
        <v>16</v>
      </c>
      <c r="B35" s="226" t="str">
        <f t="shared" si="13"/>
        <v>TFHCV9</v>
      </c>
      <c r="C35" s="226" t="str">
        <f t="shared" si="13"/>
        <v>Transport Freight - HCV9</v>
      </c>
      <c r="F35" s="273">
        <f t="shared" si="20"/>
        <v>7.6032157076654245E-3</v>
      </c>
      <c r="G35" s="66">
        <f t="shared" si="11"/>
        <v>7.6032157076654245E-3</v>
      </c>
      <c r="H35" s="66">
        <f t="shared" si="11"/>
        <v>7.6032157076654245E-3</v>
      </c>
      <c r="I35" s="66">
        <f t="shared" si="14"/>
        <v>7.6032157076654245E-3</v>
      </c>
      <c r="J35" s="66">
        <f t="shared" si="14"/>
        <v>7.6032157076654245E-3</v>
      </c>
      <c r="K35" s="66">
        <f t="shared" si="14"/>
        <v>7.6032157076654245E-3</v>
      </c>
      <c r="L35" s="66">
        <f t="shared" si="14"/>
        <v>7.6032157076654245E-3</v>
      </c>
      <c r="N35" s="274">
        <f t="shared" si="15"/>
        <v>7.6032157076654245E-3</v>
      </c>
      <c r="O35" s="35">
        <f t="shared" si="16"/>
        <v>7.6032157076654245E-3</v>
      </c>
      <c r="P35" s="35">
        <f t="shared" si="16"/>
        <v>7.6032157076654245E-3</v>
      </c>
      <c r="Q35" s="35">
        <f t="shared" si="16"/>
        <v>7.6032157076654245E-3</v>
      </c>
      <c r="R35" s="35">
        <f t="shared" si="17"/>
        <v>7.6032157076654245E-3</v>
      </c>
      <c r="S35" s="275"/>
      <c r="T35" s="274">
        <f t="shared" si="18"/>
        <v>7.6032157076654245E-3</v>
      </c>
      <c r="U35" s="77">
        <f t="shared" si="19"/>
        <v>7.223054922282153E-3</v>
      </c>
      <c r="V35" s="77">
        <f t="shared" si="12"/>
        <v>6.861902176168045E-3</v>
      </c>
      <c r="W35" s="77">
        <f t="shared" si="12"/>
        <v>6.5188070673596428E-3</v>
      </c>
      <c r="X35" s="77">
        <f t="shared" si="12"/>
        <v>6.1928667139916601E-3</v>
      </c>
      <c r="Y35" s="275"/>
      <c r="Z35" s="275"/>
      <c r="AA35" s="275"/>
      <c r="AB35" s="275"/>
      <c r="AC35" s="275"/>
      <c r="AD35" s="275"/>
      <c r="AE35" s="275"/>
      <c r="AF35" s="275"/>
      <c r="AG35" s="275"/>
      <c r="AH35" s="275"/>
      <c r="AI35" s="275"/>
      <c r="AJ35" s="275"/>
      <c r="AK35" s="275"/>
      <c r="AL35" s="275"/>
      <c r="AM35" s="275"/>
      <c r="AN35" s="275"/>
      <c r="AO35" s="275"/>
      <c r="AP35" s="275"/>
      <c r="AQ35" s="275"/>
      <c r="AR35" s="275"/>
    </row>
    <row r="36" spans="1:44">
      <c r="A36" s="225" t="s">
        <v>16</v>
      </c>
      <c r="B36" s="226" t="str">
        <f>B23</f>
        <v>TFRCO</v>
      </c>
      <c r="C36" s="226" t="str">
        <f>C23</f>
        <v>Transport Freight - Rail Corridor</v>
      </c>
      <c r="D36" s="225" t="s">
        <v>48</v>
      </c>
      <c r="F36" s="273">
        <f t="shared" si="20"/>
        <v>0.19103938972285742</v>
      </c>
      <c r="G36" s="66">
        <f t="shared" ref="G36:L36" si="21">1-SUM(G28:G35)</f>
        <v>0.19103938972285739</v>
      </c>
      <c r="H36" s="66">
        <f t="shared" si="21"/>
        <v>0.19103938972285739</v>
      </c>
      <c r="I36" s="66">
        <f t="shared" si="21"/>
        <v>0.19103938972285739</v>
      </c>
      <c r="J36" s="66">
        <f t="shared" si="21"/>
        <v>0.19103938972285739</v>
      </c>
      <c r="K36" s="66">
        <f t="shared" si="21"/>
        <v>0.19103938972285739</v>
      </c>
      <c r="L36" s="66">
        <f t="shared" si="21"/>
        <v>0.19103938972285739</v>
      </c>
      <c r="N36" s="274">
        <f>$G36</f>
        <v>0.19103938972285739</v>
      </c>
      <c r="O36" s="66">
        <f>1-SUM(O28:O35)</f>
        <v>0.19103938972285739</v>
      </c>
      <c r="P36" s="66">
        <f>1-SUM(P28:P35)</f>
        <v>0.19103938972285739</v>
      </c>
      <c r="Q36" s="66">
        <f>1-SUM(Q28:Q35)</f>
        <v>0.19103938972285739</v>
      </c>
      <c r="R36" s="66">
        <f>1-SUM(R28:R35)</f>
        <v>0.19103938972285739</v>
      </c>
      <c r="S36" s="275"/>
      <c r="T36" s="274">
        <f>$G36</f>
        <v>0.19103938972285739</v>
      </c>
      <c r="U36" s="66">
        <f>1-SUM(U28:U35)</f>
        <v>0.23148742023671465</v>
      </c>
      <c r="V36" s="66">
        <f>1-SUM(V28:V35)</f>
        <v>0.26991304922487891</v>
      </c>
      <c r="W36" s="66">
        <f>1-SUM(W28:W35)</f>
        <v>0.306417396763635</v>
      </c>
      <c r="X36" s="66">
        <f>1-SUM(X28:X35)</f>
        <v>0.34109652692545334</v>
      </c>
      <c r="Y36" s="275"/>
      <c r="Z36" s="275"/>
      <c r="AA36" s="275"/>
      <c r="AB36" s="275"/>
      <c r="AC36" s="275"/>
      <c r="AD36" s="275"/>
      <c r="AE36" s="275"/>
      <c r="AF36" s="275"/>
      <c r="AG36" s="275"/>
      <c r="AH36" s="275"/>
      <c r="AI36" s="275"/>
      <c r="AJ36" s="275"/>
      <c r="AK36" s="275"/>
      <c r="AL36" s="275"/>
      <c r="AM36" s="275"/>
      <c r="AN36" s="275"/>
      <c r="AO36" s="275"/>
      <c r="AP36" s="275"/>
      <c r="AQ36" s="275"/>
      <c r="AR36" s="275"/>
    </row>
    <row r="37" spans="1:44">
      <c r="A37" s="225" t="s">
        <v>16</v>
      </c>
    </row>
    <row r="38" spans="1:44" ht="15.75" thickBot="1">
      <c r="A38" s="225" t="s">
        <v>16</v>
      </c>
      <c r="B38" s="14" t="s">
        <v>438</v>
      </c>
      <c r="C38" s="14"/>
      <c r="D38" s="14"/>
    </row>
    <row r="39" spans="1:44">
      <c r="A39" s="225" t="s">
        <v>16</v>
      </c>
      <c r="B39" s="226" t="str">
        <f>B14</f>
        <v>TFHCV1</v>
      </c>
      <c r="C39" s="226" t="str">
        <f>C14</f>
        <v>Transport Freight - HCV1</v>
      </c>
      <c r="D39" s="225" t="s">
        <v>48</v>
      </c>
      <c r="F39" s="273">
        <f>F46/F$48</f>
        <v>0.16368552231058403</v>
      </c>
      <c r="G39" s="66">
        <f>IF($D$4,T39,N39)</f>
        <v>0.16368552231058403</v>
      </c>
      <c r="H39" s="66">
        <f>IF($D$4,U39,O39)</f>
        <v>0.16368552231058403</v>
      </c>
      <c r="I39" s="66">
        <f>IF($D$4,U39,O39)</f>
        <v>0.16368552231058403</v>
      </c>
      <c r="J39" s="66">
        <f>IF($D$4,V39,P39)</f>
        <v>0.16368552231058403</v>
      </c>
      <c r="K39" s="66">
        <f>IF($D$4,W39,Q39)</f>
        <v>0.16368552231058403</v>
      </c>
      <c r="L39" s="66">
        <f>IF($D$4,X39,R39)</f>
        <v>0.16368552231058403</v>
      </c>
      <c r="N39" s="274">
        <f>$F39</f>
        <v>0.16368552231058403</v>
      </c>
      <c r="O39" s="35">
        <f>N39</f>
        <v>0.16368552231058403</v>
      </c>
      <c r="P39" s="35">
        <f>O39</f>
        <v>0.16368552231058403</v>
      </c>
      <c r="Q39" s="35">
        <f>P39</f>
        <v>0.16368552231058403</v>
      </c>
      <c r="R39" s="35">
        <f>P39</f>
        <v>0.16368552231058403</v>
      </c>
      <c r="S39" s="275"/>
      <c r="T39" s="274">
        <f>N39</f>
        <v>0.16368552231058403</v>
      </c>
      <c r="U39" s="77">
        <f>T39*0.95</f>
        <v>0.15550124619505482</v>
      </c>
      <c r="V39" s="77">
        <f>U39*0.95</f>
        <v>0.14772618388530206</v>
      </c>
      <c r="W39" s="77">
        <f>V39*0.95</f>
        <v>0.14033987469103695</v>
      </c>
      <c r="X39" s="77">
        <f>W39*0.95</f>
        <v>0.13332288095648509</v>
      </c>
      <c r="Y39" s="275"/>
      <c r="Z39" s="275"/>
      <c r="AA39" s="275"/>
      <c r="AB39" s="275"/>
      <c r="AC39" s="275"/>
      <c r="AD39" s="275"/>
      <c r="AE39" s="275"/>
      <c r="AF39" s="275"/>
      <c r="AG39" s="275"/>
      <c r="AH39" s="275"/>
      <c r="AI39" s="275"/>
      <c r="AJ39" s="275"/>
      <c r="AK39" s="275"/>
      <c r="AL39" s="275"/>
      <c r="AM39" s="275"/>
      <c r="AN39" s="275"/>
      <c r="AO39" s="275"/>
      <c r="AP39" s="275"/>
      <c r="AQ39" s="275"/>
      <c r="AR39" s="275"/>
    </row>
    <row r="40" spans="1:44">
      <c r="A40" s="225" t="s">
        <v>16</v>
      </c>
      <c r="B40" s="226" t="str">
        <f>B24</f>
        <v>TFROT</v>
      </c>
      <c r="C40" s="226" t="str">
        <f>C24</f>
        <v>Transport Freight - Rail Other</v>
      </c>
      <c r="D40" s="225" t="s">
        <v>48</v>
      </c>
      <c r="F40" s="273">
        <f>F47/F$48</f>
        <v>0.83631447768941591</v>
      </c>
      <c r="G40" s="66">
        <f t="shared" ref="G40:L40" si="22">1-G39</f>
        <v>0.83631447768941602</v>
      </c>
      <c r="H40" s="66">
        <f t="shared" si="22"/>
        <v>0.83631447768941602</v>
      </c>
      <c r="I40" s="66">
        <f t="shared" si="22"/>
        <v>0.83631447768941602</v>
      </c>
      <c r="J40" s="66">
        <f t="shared" si="22"/>
        <v>0.83631447768941602</v>
      </c>
      <c r="K40" s="66">
        <f t="shared" si="22"/>
        <v>0.83631447768941602</v>
      </c>
      <c r="L40" s="66">
        <f t="shared" si="22"/>
        <v>0.83631447768941602</v>
      </c>
      <c r="N40" s="274">
        <f>$G40</f>
        <v>0.83631447768941602</v>
      </c>
      <c r="O40" s="66">
        <f>1-O39</f>
        <v>0.83631447768941602</v>
      </c>
      <c r="P40" s="66">
        <f>1-P39</f>
        <v>0.83631447768941602</v>
      </c>
      <c r="Q40" s="66">
        <f>1-Q39</f>
        <v>0.83631447768941602</v>
      </c>
      <c r="R40" s="66">
        <f>1-R39</f>
        <v>0.83631447768941602</v>
      </c>
      <c r="S40" s="275"/>
      <c r="T40" s="274">
        <f>$G40</f>
        <v>0.83631447768941602</v>
      </c>
      <c r="U40" s="66">
        <f>1-U39</f>
        <v>0.84449875380494521</v>
      </c>
      <c r="V40" s="66">
        <f>1-V39</f>
        <v>0.85227381611469788</v>
      </c>
      <c r="W40" s="66">
        <f>1-W39</f>
        <v>0.85966012530896307</v>
      </c>
      <c r="X40" s="66">
        <f>1-X39</f>
        <v>0.86667711904351497</v>
      </c>
      <c r="Y40" s="275"/>
      <c r="Z40" s="275"/>
      <c r="AA40" s="275"/>
      <c r="AB40" s="275"/>
      <c r="AC40" s="275"/>
      <c r="AD40" s="275"/>
      <c r="AE40" s="275"/>
      <c r="AF40" s="275"/>
      <c r="AG40" s="275"/>
      <c r="AH40" s="275"/>
      <c r="AI40" s="275"/>
      <c r="AJ40" s="275"/>
      <c r="AK40" s="275"/>
      <c r="AL40" s="275"/>
      <c r="AM40" s="275"/>
      <c r="AN40" s="275"/>
      <c r="AO40" s="275"/>
      <c r="AP40" s="275"/>
      <c r="AQ40" s="275"/>
      <c r="AR40" s="275"/>
    </row>
    <row r="41" spans="1:44">
      <c r="A41" s="225" t="s">
        <v>16</v>
      </c>
    </row>
    <row r="42" spans="1:44" ht="15.75" thickBot="1">
      <c r="A42" s="225" t="s">
        <v>16</v>
      </c>
      <c r="B42" s="14" t="s">
        <v>207</v>
      </c>
      <c r="C42" s="14"/>
      <c r="D42" s="14"/>
      <c r="G42" s="49"/>
      <c r="H42" s="49"/>
    </row>
    <row r="43" spans="1:44">
      <c r="A43" s="225" t="s">
        <v>16</v>
      </c>
      <c r="B43" s="226"/>
      <c r="C43" s="3" t="s">
        <v>5</v>
      </c>
      <c r="D43" s="5" t="s">
        <v>149</v>
      </c>
      <c r="E43" s="5"/>
      <c r="F43" s="49">
        <f>F63*F92</f>
        <v>17.152485013399282</v>
      </c>
      <c r="G43" s="49">
        <f>F43*(1+(F13+G13)/2*((G7/F7)^(1/(G$4-F$4))-1))^(G$4-F$4)</f>
        <v>17.976846368396746</v>
      </c>
      <c r="H43" s="49">
        <f>G43*(1+(G13+H13)/2*((H7/G7)^(1/(H$4-G$4))-1))^(H$4-G$4)</f>
        <v>18.275819732496981</v>
      </c>
      <c r="I43" s="49">
        <f>G43*(1+(G13+I13)/2*((I7/G7)^(1/(I$4-G$4))-1))^(I$4-G$4)</f>
        <v>17.382279232767157</v>
      </c>
      <c r="J43" s="49">
        <f>I43*(1+(I13+J13)/2*((J7/I7)^(1/(J$4-I$4))-1))^(J$4-I$4)</f>
        <v>20.483172910937</v>
      </c>
      <c r="K43" s="49">
        <f>J43*(1+(J13+K13)/2*((K7/J7)^(1/(K$4-J$4))-1))^(K$4-J$4)</f>
        <v>25.634308259593027</v>
      </c>
      <c r="L43" s="49">
        <f>K43*(1+(K13+L13)/2*((L7/K7)^(1/(L$4-K$4))-1))^(L$4-K$4)</f>
        <v>33.147716875236625</v>
      </c>
      <c r="M43" s="49"/>
      <c r="N43" s="86">
        <f>$G43</f>
        <v>17.976846368396746</v>
      </c>
      <c r="O43" s="49">
        <f>N43*(1+(N13+O13)/2*((O7/N7)^(1/(O$4-N$4))-1))^(O$4-N$4)</f>
        <v>17.382279232767157</v>
      </c>
      <c r="P43" s="49">
        <f>O43*(1+(O13+P13)/2*((P7/O7)^(1/(P$4-O$4))-1))^(P$4-O$4)</f>
        <v>20.483172910937</v>
      </c>
      <c r="Q43" s="49">
        <f>P43*(1+(P13+Q13)/2*((Q7/P7)^(1/(Q$4-P$4))-1))^(Q$4-P$4)</f>
        <v>25.634308259593027</v>
      </c>
      <c r="R43" s="49">
        <f>Q43*(1+(Q13+R13)/2*((R7/Q7)^(1/(R$4-Q$4))-1))^(R$4-Q$4)</f>
        <v>33.147716875236625</v>
      </c>
      <c r="T43" s="86">
        <f>$G43</f>
        <v>17.976846368396746</v>
      </c>
      <c r="U43" s="49">
        <f>T43*(1+(T13+U13)/2*((U7/T7)^(1/(U$4-T$4))-1))^(U$4-T$4)</f>
        <v>17.382279232767157</v>
      </c>
      <c r="V43" s="49">
        <f>U43*(1+(U13+V13)/2*((V7/U7)^(1/(V$4-U$4))-1))^(V$4-U$4)</f>
        <v>20.483172910937</v>
      </c>
      <c r="W43" s="49">
        <f>V43*(1+(V13+W13)/2*((W7/V7)^(1/(W$4-V$4))-1))^(W$4-V$4)</f>
        <v>25.634308259593027</v>
      </c>
      <c r="X43" s="49">
        <f>W43*(1+(W13+X13)/2*((X7/W7)^(1/(X$4-W$4))-1))^(X$4-W$4)</f>
        <v>33.147716875236625</v>
      </c>
    </row>
    <row r="44" spans="1:44">
      <c r="A44" s="225" t="s">
        <v>16</v>
      </c>
    </row>
    <row r="45" spans="1:44" ht="15.75" thickBot="1">
      <c r="A45" s="225" t="s">
        <v>16</v>
      </c>
      <c r="B45" s="14" t="s">
        <v>416</v>
      </c>
      <c r="C45" s="14"/>
      <c r="D45" s="14"/>
    </row>
    <row r="46" spans="1:44">
      <c r="A46" s="225" t="s">
        <v>16</v>
      </c>
      <c r="B46" s="226" t="str">
        <f>B39</f>
        <v>TFHCV1</v>
      </c>
      <c r="C46" s="226" t="str">
        <f>C39</f>
        <v>Transport Freight - HCV1</v>
      </c>
      <c r="D46" s="225" t="s">
        <v>149</v>
      </c>
      <c r="F46" s="10">
        <f>F64*F93</f>
        <v>4.9126336080498234</v>
      </c>
      <c r="G46" s="10">
        <f>G39*G$48</f>
        <v>5.1487384811672978</v>
      </c>
      <c r="H46" s="10">
        <f>H39*H$48</f>
        <v>5.2343672746186938</v>
      </c>
      <c r="I46" s="10">
        <f t="shared" ref="G46:L47" si="23">I39*I$48</f>
        <v>4.9784488414763688</v>
      </c>
      <c r="J46" s="10">
        <f t="shared" si="23"/>
        <v>5.8665740598611187</v>
      </c>
      <c r="K46" s="10">
        <f t="shared" si="23"/>
        <v>7.3419078446539707</v>
      </c>
      <c r="L46" s="10">
        <f t="shared" si="23"/>
        <v>9.4938189903210723</v>
      </c>
      <c r="N46" s="10">
        <f t="shared" ref="N46:R47" si="24">N39*N$48</f>
        <v>5.1487384811672978</v>
      </c>
      <c r="O46" s="10">
        <f>O39*O$48</f>
        <v>4.9784488414763688</v>
      </c>
      <c r="P46" s="10">
        <f>P39*P$48</f>
        <v>5.8665740598611187</v>
      </c>
      <c r="Q46" s="10">
        <f>Q39*Q$48</f>
        <v>7.3419078446539707</v>
      </c>
      <c r="R46" s="10">
        <f>R39*R$48</f>
        <v>9.4938189903210723</v>
      </c>
      <c r="S46" s="10"/>
      <c r="T46" s="10">
        <f t="shared" ref="T46:X47" si="25">T39*T$48</f>
        <v>5.1487384811672978</v>
      </c>
      <c r="U46" s="10">
        <f t="shared" si="25"/>
        <v>4.72952639940255</v>
      </c>
      <c r="V46" s="10">
        <f t="shared" si="25"/>
        <v>5.294583089024659</v>
      </c>
      <c r="W46" s="10">
        <f t="shared" si="25"/>
        <v>6.2947682383101968</v>
      </c>
      <c r="X46" s="10">
        <f t="shared" si="25"/>
        <v>7.7327749039852014</v>
      </c>
      <c r="Y46" s="10"/>
      <c r="Z46" s="10"/>
      <c r="AA46" s="10"/>
      <c r="AB46" s="10"/>
      <c r="AC46" s="10"/>
      <c r="AD46" s="10"/>
      <c r="AE46" s="10"/>
      <c r="AF46" s="10"/>
      <c r="AG46" s="10"/>
      <c r="AH46" s="10"/>
      <c r="AI46" s="10"/>
      <c r="AJ46" s="10"/>
      <c r="AK46" s="10"/>
      <c r="AL46" s="10"/>
      <c r="AM46" s="10"/>
      <c r="AN46" s="10"/>
      <c r="AO46" s="10"/>
      <c r="AP46" s="10"/>
      <c r="AQ46" s="10"/>
      <c r="AR46" s="10"/>
    </row>
    <row r="47" spans="1:44">
      <c r="A47" s="225" t="s">
        <v>16</v>
      </c>
      <c r="B47" s="226" t="str">
        <f>B40</f>
        <v>TFROT</v>
      </c>
      <c r="C47" s="226" t="str">
        <f>C40</f>
        <v>Transport Freight - Rail Other</v>
      </c>
      <c r="D47" s="225" t="s">
        <v>149</v>
      </c>
      <c r="F47" s="10">
        <f>F103</f>
        <v>25.099999999999998</v>
      </c>
      <c r="G47" s="10">
        <f t="shared" si="23"/>
        <v>26.306324914102674</v>
      </c>
      <c r="H47" s="10">
        <f t="shared" si="23"/>
        <v>26.743826036129818</v>
      </c>
      <c r="I47" s="10">
        <f t="shared" si="23"/>
        <v>25.436268179312087</v>
      </c>
      <c r="J47" s="10">
        <f t="shared" si="23"/>
        <v>29.973944863551218</v>
      </c>
      <c r="K47" s="10">
        <f t="shared" si="23"/>
        <v>37.511832064750578</v>
      </c>
      <c r="L47" s="10">
        <f t="shared" si="23"/>
        <v>48.506539601607962</v>
      </c>
      <c r="N47" s="10">
        <f t="shared" si="24"/>
        <v>26.306324914102674</v>
      </c>
      <c r="O47" s="10">
        <f t="shared" si="24"/>
        <v>25.436268179312087</v>
      </c>
      <c r="P47" s="10">
        <f t="shared" si="24"/>
        <v>29.973944863551218</v>
      </c>
      <c r="Q47" s="10">
        <f t="shared" si="24"/>
        <v>37.511832064750578</v>
      </c>
      <c r="R47" s="10">
        <f t="shared" si="24"/>
        <v>48.506539601607962</v>
      </c>
      <c r="S47" s="10"/>
      <c r="T47" s="10">
        <f t="shared" si="25"/>
        <v>26.306324914102674</v>
      </c>
      <c r="U47" s="10">
        <f t="shared" si="25"/>
        <v>25.685190621385907</v>
      </c>
      <c r="V47" s="10">
        <f t="shared" si="25"/>
        <v>30.545935834387674</v>
      </c>
      <c r="W47" s="10">
        <f t="shared" si="25"/>
        <v>38.558971671094348</v>
      </c>
      <c r="X47" s="10">
        <f t="shared" si="25"/>
        <v>50.267583687943834</v>
      </c>
      <c r="Y47" s="10"/>
      <c r="Z47" s="10"/>
      <c r="AA47" s="10"/>
      <c r="AB47" s="10"/>
      <c r="AC47" s="10"/>
      <c r="AD47" s="10"/>
      <c r="AE47" s="10"/>
      <c r="AF47" s="10"/>
      <c r="AG47" s="10"/>
      <c r="AH47" s="10"/>
      <c r="AI47" s="10"/>
      <c r="AJ47" s="10"/>
      <c r="AK47" s="10"/>
      <c r="AL47" s="10"/>
      <c r="AM47" s="10"/>
      <c r="AN47" s="10"/>
      <c r="AO47" s="10"/>
      <c r="AP47" s="10"/>
      <c r="AQ47" s="10"/>
      <c r="AR47" s="10"/>
    </row>
    <row r="48" spans="1:44">
      <c r="A48" s="225" t="s">
        <v>16</v>
      </c>
      <c r="B48" s="226"/>
      <c r="C48" s="3" t="s">
        <v>5</v>
      </c>
      <c r="D48" s="5" t="s">
        <v>149</v>
      </c>
      <c r="E48" s="5"/>
      <c r="F48" s="49">
        <f>SUM(F46:F47)</f>
        <v>30.012633608049821</v>
      </c>
      <c r="G48" s="49">
        <f>F48*(1+(F21+G21)/2*((G7/F7)^(1/(G$4-F$4))-1))^(G$4-F$4)</f>
        <v>31.455063395269971</v>
      </c>
      <c r="H48" s="49">
        <f>G48*(1+(G21+H21)/2*((H7/G7)^(1/(H$4-G$4))-1))^(H$4-G$4)</f>
        <v>31.978193310748509</v>
      </c>
      <c r="I48" s="49">
        <f>G48*(1+(G21+I21)/2*((I7/G7)^(1/(I$4-G$4))-1))^(I$4-G$4)</f>
        <v>30.414717020788455</v>
      </c>
      <c r="J48" s="49">
        <f>I48*(1+(I21+J21)/2*((J7/I7)^(1/(J$4-I$4))-1))^(J$4-I$4)</f>
        <v>35.840518923412333</v>
      </c>
      <c r="K48" s="49">
        <f>J48*(1+(J21+K21)/2*((K7/J7)^(1/(K$4-J$4))-1))^(K$4-J$4)</f>
        <v>44.853739909404545</v>
      </c>
      <c r="L48" s="49">
        <f>K48*(1+(K21+L21)/2*((L7/K7)^(1/(L$4-K$4))-1))^(L$4-K$4)</f>
        <v>58.000358591929029</v>
      </c>
      <c r="N48" s="86">
        <f>$G48</f>
        <v>31.455063395269971</v>
      </c>
      <c r="O48" s="49">
        <f>N48*(1+(N21+O21)/2*((O7/N7)^(1/(O$4-N$4))-1))^(O$4-N$4)</f>
        <v>30.414717020788455</v>
      </c>
      <c r="P48" s="49">
        <f>O48*(1+(O21+P21)/2*((P7/O7)^(1/(P$4-O$4))-1))^(P$4-O$4)</f>
        <v>35.840518923412333</v>
      </c>
      <c r="Q48" s="49">
        <f>P48*(1+(P21+Q21)/2*((Q7/P7)^(1/(Q$4-P$4))-1))^(Q$4-P$4)</f>
        <v>44.853739909404545</v>
      </c>
      <c r="R48" s="49">
        <f>Q48*(1+(Q21+R21)/2*((R7/Q7)^(1/(R$4-Q$4))-1))^(R$4-Q$4)</f>
        <v>58.000358591929029</v>
      </c>
      <c r="S48" s="226"/>
      <c r="T48" s="86">
        <f>$G48</f>
        <v>31.455063395269971</v>
      </c>
      <c r="U48" s="49">
        <f>T48*(1+(T21+U21)/2*((U7/T7)^(1/(U$4-T$4))-1))^(U$4-T$4)</f>
        <v>30.414717020788455</v>
      </c>
      <c r="V48" s="49">
        <f>U48*(1+(U21+V21)/2*((V7/U7)^(1/(V$4-U$4))-1))^(V$4-U$4)</f>
        <v>35.840518923412333</v>
      </c>
      <c r="W48" s="49">
        <f>V48*(1+(V21+W21)/2*((W7/V7)^(1/(W$4-V$4))-1))^(W$4-V$4)</f>
        <v>44.853739909404545</v>
      </c>
      <c r="X48" s="49">
        <f>W48*(1+(W21+X21)/2*((X7/W7)^(1/(X$4-W$4))-1))^(X$4-W$4)</f>
        <v>58.000358591929029</v>
      </c>
      <c r="Y48" s="226"/>
      <c r="Z48" s="226"/>
      <c r="AA48" s="226"/>
      <c r="AB48" s="226"/>
      <c r="AC48" s="226"/>
      <c r="AD48" s="226"/>
      <c r="AE48" s="226"/>
      <c r="AF48" s="226"/>
      <c r="AG48" s="226"/>
      <c r="AH48" s="226"/>
      <c r="AI48" s="226"/>
      <c r="AJ48" s="226"/>
      <c r="AK48" s="226"/>
      <c r="AL48" s="226"/>
      <c r="AM48" s="226"/>
      <c r="AN48" s="226"/>
      <c r="AO48" s="226"/>
      <c r="AP48" s="226"/>
      <c r="AQ48" s="226"/>
      <c r="AR48" s="226"/>
    </row>
    <row r="49" spans="1:44">
      <c r="A49" s="225" t="s">
        <v>16</v>
      </c>
      <c r="B49" s="226"/>
      <c r="C49" s="3"/>
      <c r="D49" s="5"/>
      <c r="E49" s="5"/>
      <c r="F49" s="49"/>
      <c r="G49" s="49"/>
      <c r="H49" s="49"/>
      <c r="I49" s="49"/>
      <c r="J49" s="49"/>
      <c r="K49" s="49"/>
      <c r="L49" s="49"/>
      <c r="N49" s="10"/>
      <c r="O49" s="226"/>
      <c r="P49" s="226"/>
      <c r="Q49" s="226"/>
      <c r="R49" s="226"/>
      <c r="S49" s="226"/>
      <c r="T49" s="226"/>
      <c r="U49" s="226"/>
      <c r="V49" s="226"/>
      <c r="W49" s="226"/>
      <c r="X49" s="226"/>
      <c r="Y49" s="226"/>
      <c r="Z49" s="226"/>
      <c r="AA49" s="226"/>
      <c r="AB49" s="226"/>
      <c r="AC49" s="226"/>
      <c r="AD49" s="226"/>
      <c r="AE49" s="226"/>
      <c r="AF49" s="226"/>
      <c r="AG49" s="226"/>
      <c r="AH49" s="226"/>
      <c r="AI49" s="226"/>
      <c r="AJ49" s="226"/>
      <c r="AK49" s="226"/>
      <c r="AL49" s="226"/>
      <c r="AM49" s="226"/>
      <c r="AN49" s="226"/>
      <c r="AO49" s="226"/>
      <c r="AP49" s="226"/>
      <c r="AQ49" s="226"/>
      <c r="AR49" s="226"/>
    </row>
    <row r="50" spans="1:44" ht="15.75" thickBot="1">
      <c r="A50" s="225" t="s">
        <v>16</v>
      </c>
      <c r="B50" s="14" t="s">
        <v>208</v>
      </c>
      <c r="C50" s="14"/>
      <c r="D50" s="14"/>
    </row>
    <row r="51" spans="1:44">
      <c r="A51" s="225" t="s">
        <v>16</v>
      </c>
      <c r="B51" s="226" t="str">
        <f>B15</f>
        <v>TFHCV2</v>
      </c>
      <c r="C51" s="226" t="str">
        <f>C28</f>
        <v>Transport Freight - HCV2</v>
      </c>
      <c r="D51" s="225" t="s">
        <v>149</v>
      </c>
      <c r="F51" s="10">
        <f>F65*F94</f>
        <v>1.637618085804339</v>
      </c>
      <c r="G51" s="10">
        <f t="shared" ref="G51:L59" si="26">G28*G$60</f>
        <v>1.7163232450350523</v>
      </c>
      <c r="H51" s="10">
        <f t="shared" si="26"/>
        <v>1.7448674581821175</v>
      </c>
      <c r="I51" s="10">
        <f t="shared" si="26"/>
        <v>1.6595574823032224</v>
      </c>
      <c r="J51" s="10">
        <f t="shared" si="26"/>
        <v>1.9556125183846031</v>
      </c>
      <c r="K51" s="10">
        <f t="shared" si="26"/>
        <v>2.4474125346968392</v>
      </c>
      <c r="L51" s="10">
        <f t="shared" si="26"/>
        <v>3.1647484673855613</v>
      </c>
      <c r="N51" s="10">
        <f>N28*N$60</f>
        <v>1.7163232450350523</v>
      </c>
      <c r="O51" s="10">
        <f>O28*O$60</f>
        <v>1.6595574823032224</v>
      </c>
      <c r="P51" s="10">
        <f>P28*P$60</f>
        <v>1.9556125183846031</v>
      </c>
      <c r="Q51" s="10">
        <f>Q28*Q$60</f>
        <v>2.4474125346968392</v>
      </c>
      <c r="R51" s="10">
        <f>R28*R$60</f>
        <v>3.1647484673855613</v>
      </c>
      <c r="S51" s="10"/>
      <c r="T51" s="10">
        <f>T28*T$60</f>
        <v>1.7163232450350523</v>
      </c>
      <c r="U51" s="10">
        <f>U28*U$60</f>
        <v>1.576579608188061</v>
      </c>
      <c r="V51" s="10">
        <f>V28*V$60</f>
        <v>1.764940297842104</v>
      </c>
      <c r="W51" s="10">
        <f>W28*W$60</f>
        <v>2.098350321935702</v>
      </c>
      <c r="X51" s="10">
        <f>X28*X$60</f>
        <v>2.5777074063634604</v>
      </c>
      <c r="Y51" s="10"/>
      <c r="Z51" s="10"/>
      <c r="AA51" s="10"/>
      <c r="AB51" s="10"/>
      <c r="AC51" s="10"/>
      <c r="AD51" s="10"/>
      <c r="AE51" s="10"/>
      <c r="AF51" s="10"/>
      <c r="AG51" s="10"/>
      <c r="AH51" s="10"/>
      <c r="AI51" s="10"/>
      <c r="AJ51" s="10"/>
      <c r="AK51" s="10"/>
      <c r="AL51" s="10"/>
      <c r="AM51" s="10"/>
      <c r="AN51" s="10"/>
      <c r="AO51" s="10"/>
      <c r="AP51" s="10"/>
      <c r="AQ51" s="10"/>
      <c r="AR51" s="10"/>
    </row>
    <row r="52" spans="1:44">
      <c r="A52" s="225" t="s">
        <v>16</v>
      </c>
      <c r="B52" s="226" t="str">
        <f t="shared" ref="B52:B58" si="27">B16</f>
        <v>TFHCV3</v>
      </c>
      <c r="C52" s="226" t="str">
        <f t="shared" ref="C52:C58" si="28">C29</f>
        <v>Transport Freight - HCV3</v>
      </c>
      <c r="D52" s="225" t="s">
        <v>149</v>
      </c>
      <c r="F52" s="10">
        <f t="shared" ref="F52:F58" si="29">F66*F95</f>
        <v>10.467275163694032</v>
      </c>
      <c r="G52" s="10">
        <f t="shared" si="26"/>
        <v>10.970340295675397</v>
      </c>
      <c r="H52" s="10">
        <f t="shared" si="26"/>
        <v>11.152788288850017</v>
      </c>
      <c r="I52" s="10">
        <f t="shared" si="26"/>
        <v>10.607506700014909</v>
      </c>
      <c r="J52" s="10">
        <f t="shared" si="26"/>
        <v>12.499821857696572</v>
      </c>
      <c r="K52" s="10">
        <f t="shared" si="26"/>
        <v>15.643293550439248</v>
      </c>
      <c r="L52" s="10">
        <f t="shared" si="26"/>
        <v>20.22833853580287</v>
      </c>
      <c r="N52" s="10">
        <f t="shared" ref="N52:R59" si="30">N29*N$60</f>
        <v>10.970340295675397</v>
      </c>
      <c r="O52" s="10">
        <f t="shared" si="30"/>
        <v>10.607506700014909</v>
      </c>
      <c r="P52" s="10">
        <f t="shared" si="30"/>
        <v>12.499821857696572</v>
      </c>
      <c r="Q52" s="10">
        <f t="shared" si="30"/>
        <v>15.643293550439248</v>
      </c>
      <c r="R52" s="10">
        <f t="shared" si="30"/>
        <v>20.22833853580287</v>
      </c>
      <c r="S52" s="10"/>
      <c r="T52" s="10">
        <f t="shared" ref="T52:X59" si="31">T29*T$60</f>
        <v>10.970340295675397</v>
      </c>
      <c r="U52" s="10">
        <f t="shared" si="31"/>
        <v>10.077131365014164</v>
      </c>
      <c r="V52" s="10">
        <f t="shared" si="31"/>
        <v>11.281089226571156</v>
      </c>
      <c r="W52" s="10">
        <f t="shared" si="31"/>
        <v>13.41216880780785</v>
      </c>
      <c r="X52" s="10">
        <f t="shared" si="31"/>
        <v>16.476108164527286</v>
      </c>
      <c r="Y52" s="10"/>
      <c r="Z52" s="10"/>
      <c r="AA52" s="10"/>
      <c r="AB52" s="10"/>
      <c r="AC52" s="10"/>
      <c r="AD52" s="10"/>
      <c r="AE52" s="10"/>
      <c r="AF52" s="10"/>
      <c r="AG52" s="10"/>
      <c r="AH52" s="10"/>
      <c r="AI52" s="10"/>
      <c r="AJ52" s="10"/>
      <c r="AK52" s="10"/>
      <c r="AL52" s="10"/>
      <c r="AM52" s="10"/>
      <c r="AN52" s="10"/>
      <c r="AO52" s="10"/>
      <c r="AP52" s="10"/>
      <c r="AQ52" s="10"/>
      <c r="AR52" s="10"/>
    </row>
    <row r="53" spans="1:44">
      <c r="A53" s="225" t="s">
        <v>16</v>
      </c>
      <c r="B53" s="226" t="str">
        <f t="shared" si="27"/>
        <v>TFHCV4</v>
      </c>
      <c r="C53" s="226" t="str">
        <f t="shared" si="28"/>
        <v>Transport Freight - HCV4</v>
      </c>
      <c r="D53" s="225" t="s">
        <v>149</v>
      </c>
      <c r="F53" s="10">
        <f t="shared" si="29"/>
        <v>3.423667084889694</v>
      </c>
      <c r="G53" s="10">
        <f t="shared" si="26"/>
        <v>3.5882111048935075</v>
      </c>
      <c r="H53" s="10">
        <f t="shared" si="26"/>
        <v>3.6478867300364013</v>
      </c>
      <c r="I53" s="10">
        <f t="shared" si="26"/>
        <v>3.4695344274078845</v>
      </c>
      <c r="J53" s="10">
        <f t="shared" si="26"/>
        <v>4.0884784236509484</v>
      </c>
      <c r="K53" s="10">
        <f t="shared" si="26"/>
        <v>5.1166543718723645</v>
      </c>
      <c r="L53" s="10">
        <f t="shared" si="26"/>
        <v>6.6163443440607024</v>
      </c>
      <c r="N53" s="10">
        <f t="shared" si="30"/>
        <v>3.5882111048935075</v>
      </c>
      <c r="O53" s="10">
        <f t="shared" si="30"/>
        <v>3.4695344274078845</v>
      </c>
      <c r="P53" s="10">
        <f t="shared" si="30"/>
        <v>4.0884784236509484</v>
      </c>
      <c r="Q53" s="10">
        <f t="shared" si="30"/>
        <v>5.1166543718723645</v>
      </c>
      <c r="R53" s="10">
        <f t="shared" si="30"/>
        <v>6.6163443440607024</v>
      </c>
      <c r="S53" s="10"/>
      <c r="T53" s="10">
        <f t="shared" si="31"/>
        <v>3.5882111048935075</v>
      </c>
      <c r="U53" s="10">
        <f t="shared" si="31"/>
        <v>3.29605770603749</v>
      </c>
      <c r="V53" s="10">
        <f t="shared" si="31"/>
        <v>3.6898517773449808</v>
      </c>
      <c r="W53" s="10">
        <f t="shared" si="31"/>
        <v>4.3868915420840686</v>
      </c>
      <c r="X53" s="10">
        <f t="shared" si="31"/>
        <v>5.3890538203895915</v>
      </c>
      <c r="Y53" s="10"/>
      <c r="Z53" s="10"/>
      <c r="AA53" s="10"/>
      <c r="AB53" s="10"/>
      <c r="AC53" s="10"/>
      <c r="AD53" s="10"/>
      <c r="AE53" s="10"/>
      <c r="AF53" s="10"/>
      <c r="AG53" s="10"/>
      <c r="AH53" s="10"/>
      <c r="AI53" s="10"/>
      <c r="AJ53" s="10"/>
      <c r="AK53" s="10"/>
      <c r="AL53" s="10"/>
      <c r="AM53" s="10"/>
      <c r="AN53" s="10"/>
      <c r="AO53" s="10"/>
      <c r="AP53" s="10"/>
      <c r="AQ53" s="10"/>
      <c r="AR53" s="10"/>
    </row>
    <row r="54" spans="1:44">
      <c r="A54" s="225" t="s">
        <v>16</v>
      </c>
      <c r="B54" s="226" t="str">
        <f t="shared" si="27"/>
        <v>TFHCV5</v>
      </c>
      <c r="C54" s="226" t="str">
        <f t="shared" si="28"/>
        <v>Transport Freight - HCV5</v>
      </c>
      <c r="D54" s="225" t="s">
        <v>149</v>
      </c>
      <c r="F54" s="10">
        <f t="shared" si="29"/>
        <v>2.0433999272590588</v>
      </c>
      <c r="G54" s="10">
        <f t="shared" si="26"/>
        <v>2.1416072675669553</v>
      </c>
      <c r="H54" s="10">
        <f t="shared" si="26"/>
        <v>2.1772243895161991</v>
      </c>
      <c r="I54" s="10">
        <f t="shared" si="26"/>
        <v>2.070775639336583</v>
      </c>
      <c r="J54" s="10">
        <f t="shared" si="26"/>
        <v>2.4401895121054822</v>
      </c>
      <c r="K54" s="10">
        <f t="shared" si="26"/>
        <v>3.0538515901380623</v>
      </c>
      <c r="L54" s="10">
        <f t="shared" si="26"/>
        <v>3.9489346411758715</v>
      </c>
      <c r="N54" s="10">
        <f t="shared" si="30"/>
        <v>2.1416072675669553</v>
      </c>
      <c r="O54" s="10">
        <f t="shared" si="30"/>
        <v>2.070775639336583</v>
      </c>
      <c r="P54" s="10">
        <f t="shared" si="30"/>
        <v>2.4401895121054822</v>
      </c>
      <c r="Q54" s="10">
        <f t="shared" si="30"/>
        <v>3.0538515901380623</v>
      </c>
      <c r="R54" s="10">
        <f t="shared" si="30"/>
        <v>3.9489346411758715</v>
      </c>
      <c r="S54" s="10"/>
      <c r="T54" s="10">
        <f t="shared" si="31"/>
        <v>2.1416072675669553</v>
      </c>
      <c r="U54" s="10">
        <f t="shared" si="31"/>
        <v>1.9672368573697538</v>
      </c>
      <c r="V54" s="10">
        <f t="shared" si="31"/>
        <v>2.2022710346751975</v>
      </c>
      <c r="W54" s="10">
        <f t="shared" si="31"/>
        <v>2.6182960070946208</v>
      </c>
      <c r="X54" s="10">
        <f t="shared" si="31"/>
        <v>3.2164319460792541</v>
      </c>
      <c r="Y54" s="10"/>
      <c r="Z54" s="10"/>
      <c r="AA54" s="10"/>
      <c r="AB54" s="10"/>
      <c r="AC54" s="10"/>
      <c r="AD54" s="10"/>
      <c r="AE54" s="10"/>
      <c r="AF54" s="10"/>
      <c r="AG54" s="10"/>
      <c r="AH54" s="10"/>
      <c r="AI54" s="10"/>
      <c r="AJ54" s="10"/>
      <c r="AK54" s="10"/>
      <c r="AL54" s="10"/>
      <c r="AM54" s="10"/>
      <c r="AN54" s="10"/>
      <c r="AO54" s="10"/>
      <c r="AP54" s="10"/>
      <c r="AQ54" s="10"/>
      <c r="AR54" s="10"/>
    </row>
    <row r="55" spans="1:44">
      <c r="A55" s="225" t="s">
        <v>16</v>
      </c>
      <c r="B55" s="226" t="str">
        <f t="shared" si="27"/>
        <v>TFHCV6</v>
      </c>
      <c r="C55" s="226" t="str">
        <f t="shared" si="28"/>
        <v>Transport Freight - HCV6</v>
      </c>
      <c r="D55" s="225" t="s">
        <v>149</v>
      </c>
      <c r="F55" s="10">
        <f>F69*F98</f>
        <v>51.883602656707552</v>
      </c>
      <c r="G55" s="10">
        <f t="shared" si="26"/>
        <v>54.377167697272895</v>
      </c>
      <c r="H55" s="10">
        <f t="shared" si="26"/>
        <v>55.28151568042508</v>
      </c>
      <c r="I55" s="10">
        <f t="shared" si="26"/>
        <v>52.578694473501294</v>
      </c>
      <c r="J55" s="10">
        <f t="shared" si="26"/>
        <v>61.958416149583726</v>
      </c>
      <c r="K55" s="10">
        <f t="shared" si="26"/>
        <v>77.539800389349026</v>
      </c>
      <c r="L55" s="10">
        <f t="shared" si="26"/>
        <v>100.2666943004652</v>
      </c>
      <c r="N55" s="10">
        <f t="shared" si="30"/>
        <v>54.377167697272895</v>
      </c>
      <c r="O55" s="10">
        <f t="shared" si="30"/>
        <v>52.578694473501294</v>
      </c>
      <c r="P55" s="10">
        <f t="shared" si="30"/>
        <v>61.958416149583726</v>
      </c>
      <c r="Q55" s="10">
        <f t="shared" si="30"/>
        <v>77.539800389349026</v>
      </c>
      <c r="R55" s="10">
        <f t="shared" si="30"/>
        <v>100.2666943004652</v>
      </c>
      <c r="S55" s="10"/>
      <c r="T55" s="10">
        <f t="shared" si="31"/>
        <v>54.377167697272895</v>
      </c>
      <c r="U55" s="10">
        <f t="shared" si="31"/>
        <v>49.949759749826221</v>
      </c>
      <c r="V55" s="10">
        <f t="shared" si="31"/>
        <v>55.917470574999307</v>
      </c>
      <c r="W55" s="10">
        <f t="shared" si="31"/>
        <v>66.480686358818105</v>
      </c>
      <c r="X55" s="10">
        <f t="shared" si="31"/>
        <v>81.667849174568275</v>
      </c>
      <c r="Y55" s="10"/>
      <c r="Z55" s="10"/>
      <c r="AA55" s="10"/>
      <c r="AB55" s="10"/>
      <c r="AC55" s="10"/>
      <c r="AD55" s="10"/>
      <c r="AE55" s="10"/>
      <c r="AF55" s="10"/>
      <c r="AG55" s="10"/>
      <c r="AH55" s="10"/>
      <c r="AI55" s="10"/>
      <c r="AJ55" s="10"/>
      <c r="AK55" s="10"/>
      <c r="AL55" s="10"/>
      <c r="AM55" s="10"/>
      <c r="AN55" s="10"/>
      <c r="AO55" s="10"/>
      <c r="AP55" s="10"/>
      <c r="AQ55" s="10"/>
      <c r="AR55" s="10"/>
    </row>
    <row r="56" spans="1:44">
      <c r="A56" s="225" t="s">
        <v>16</v>
      </c>
      <c r="B56" s="226" t="str">
        <f t="shared" si="27"/>
        <v>TFHCV7</v>
      </c>
      <c r="C56" s="226" t="str">
        <f t="shared" si="28"/>
        <v>Transport Freight - HCV7</v>
      </c>
      <c r="D56" s="225" t="s">
        <v>149</v>
      </c>
      <c r="F56" s="10">
        <f t="shared" si="29"/>
        <v>21.803352870590057</v>
      </c>
      <c r="G56" s="10">
        <f t="shared" si="26"/>
        <v>22.851238439465153</v>
      </c>
      <c r="H56" s="10">
        <f t="shared" si="26"/>
        <v>23.231277935275386</v>
      </c>
      <c r="I56" s="10">
        <f t="shared" si="26"/>
        <v>22.095455411334772</v>
      </c>
      <c r="J56" s="10">
        <f t="shared" si="26"/>
        <v>26.037151266279583</v>
      </c>
      <c r="K56" s="10">
        <f t="shared" si="26"/>
        <v>32.585008419524769</v>
      </c>
      <c r="L56" s="10">
        <f t="shared" si="26"/>
        <v>42.135665317335032</v>
      </c>
      <c r="N56" s="10">
        <f t="shared" si="30"/>
        <v>22.851238439465153</v>
      </c>
      <c r="O56" s="10">
        <f t="shared" si="30"/>
        <v>22.095455411334772</v>
      </c>
      <c r="P56" s="10">
        <f t="shared" si="30"/>
        <v>26.037151266279583</v>
      </c>
      <c r="Q56" s="10">
        <f t="shared" si="30"/>
        <v>32.585008419524769</v>
      </c>
      <c r="R56" s="10">
        <f t="shared" si="30"/>
        <v>42.135665317335032</v>
      </c>
      <c r="S56" s="10"/>
      <c r="T56" s="10">
        <f t="shared" si="31"/>
        <v>22.851238439465153</v>
      </c>
      <c r="U56" s="10">
        <f t="shared" si="31"/>
        <v>20.990682640768032</v>
      </c>
      <c r="V56" s="10">
        <f t="shared" si="31"/>
        <v>23.498529017817322</v>
      </c>
      <c r="W56" s="10">
        <f t="shared" si="31"/>
        <v>27.937571593690038</v>
      </c>
      <c r="X56" s="10">
        <f t="shared" si="31"/>
        <v>34.319762748877601</v>
      </c>
      <c r="Y56" s="10"/>
      <c r="Z56" s="10"/>
      <c r="AA56" s="10"/>
      <c r="AB56" s="10"/>
      <c r="AC56" s="10"/>
      <c r="AD56" s="10"/>
      <c r="AE56" s="10"/>
      <c r="AF56" s="10"/>
      <c r="AG56" s="10"/>
      <c r="AH56" s="10"/>
      <c r="AI56" s="10"/>
      <c r="AJ56" s="10"/>
      <c r="AK56" s="10"/>
      <c r="AL56" s="10"/>
      <c r="AM56" s="10"/>
      <c r="AN56" s="10"/>
      <c r="AO56" s="10"/>
      <c r="AP56" s="10"/>
      <c r="AQ56" s="10"/>
      <c r="AR56" s="10"/>
    </row>
    <row r="57" spans="1:44">
      <c r="A57" s="225" t="s">
        <v>16</v>
      </c>
      <c r="B57" s="226" t="str">
        <f t="shared" si="27"/>
        <v>TFHCV8</v>
      </c>
      <c r="C57" s="226" t="str">
        <f t="shared" si="28"/>
        <v>Transport Freight - HCV8</v>
      </c>
      <c r="D57" s="225" t="s">
        <v>149</v>
      </c>
      <c r="F57" s="10">
        <f t="shared" si="29"/>
        <v>1.0249985708336284</v>
      </c>
      <c r="G57" s="10">
        <f t="shared" si="26"/>
        <v>1.0742607745354706</v>
      </c>
      <c r="H57" s="10">
        <f t="shared" si="26"/>
        <v>1.0921268313010455</v>
      </c>
      <c r="I57" s="10">
        <f t="shared" si="26"/>
        <v>1.0387306187703502</v>
      </c>
      <c r="J57" s="10">
        <f t="shared" si="26"/>
        <v>1.2240338903341026</v>
      </c>
      <c r="K57" s="10">
        <f t="shared" si="26"/>
        <v>1.53185554803667</v>
      </c>
      <c r="L57" s="10">
        <f t="shared" si="26"/>
        <v>1.9808419827782056</v>
      </c>
      <c r="N57" s="10">
        <f t="shared" si="30"/>
        <v>1.0742607745354706</v>
      </c>
      <c r="O57" s="10">
        <f t="shared" si="30"/>
        <v>1.0387306187703502</v>
      </c>
      <c r="P57" s="10">
        <f t="shared" si="30"/>
        <v>1.2240338903341026</v>
      </c>
      <c r="Q57" s="10">
        <f t="shared" si="30"/>
        <v>1.53185554803667</v>
      </c>
      <c r="R57" s="10">
        <f t="shared" si="30"/>
        <v>1.9808419827782056</v>
      </c>
      <c r="S57" s="10"/>
      <c r="T57" s="10">
        <f t="shared" si="31"/>
        <v>1.0742607745354706</v>
      </c>
      <c r="U57" s="10">
        <f t="shared" si="31"/>
        <v>0.98679408783183264</v>
      </c>
      <c r="V57" s="10">
        <f t="shared" si="31"/>
        <v>1.1046905860265277</v>
      </c>
      <c r="W57" s="10">
        <f t="shared" si="31"/>
        <v>1.31337465049794</v>
      </c>
      <c r="X57" s="10">
        <f t="shared" si="31"/>
        <v>1.6134081752352407</v>
      </c>
      <c r="Y57" s="10"/>
      <c r="Z57" s="10"/>
      <c r="AA57" s="10"/>
      <c r="AB57" s="10"/>
      <c r="AC57" s="10"/>
      <c r="AD57" s="10"/>
      <c r="AE57" s="10"/>
      <c r="AF57" s="10"/>
      <c r="AG57" s="10"/>
      <c r="AH57" s="10"/>
      <c r="AI57" s="10"/>
      <c r="AJ57" s="10"/>
      <c r="AK57" s="10"/>
      <c r="AL57" s="10"/>
      <c r="AM57" s="10"/>
      <c r="AN57" s="10"/>
      <c r="AO57" s="10"/>
      <c r="AP57" s="10"/>
      <c r="AQ57" s="10"/>
      <c r="AR57" s="10"/>
    </row>
    <row r="58" spans="1:44">
      <c r="A58" s="225" t="s">
        <v>16</v>
      </c>
      <c r="B58" s="226" t="str">
        <f t="shared" si="27"/>
        <v>TFHCV9</v>
      </c>
      <c r="C58" s="226" t="str">
        <f t="shared" si="28"/>
        <v>Transport Freight - HCV9</v>
      </c>
      <c r="D58" s="225" t="s">
        <v>149</v>
      </c>
      <c r="F58" s="10">
        <f t="shared" si="29"/>
        <v>0.87558249537595634</v>
      </c>
      <c r="G58" s="10">
        <f t="shared" si="26"/>
        <v>0.91766364989883309</v>
      </c>
      <c r="H58" s="10">
        <f t="shared" si="26"/>
        <v>0.93292533612012019</v>
      </c>
      <c r="I58" s="10">
        <f t="shared" si="26"/>
        <v>0.88731279543801245</v>
      </c>
      <c r="J58" s="10">
        <f t="shared" si="26"/>
        <v>1.0456040414298606</v>
      </c>
      <c r="K58" s="10">
        <f t="shared" si="26"/>
        <v>1.3085539253138694</v>
      </c>
      <c r="L58" s="10">
        <f t="shared" si="26"/>
        <v>1.6920907165907786</v>
      </c>
      <c r="N58" s="10">
        <f t="shared" si="30"/>
        <v>0.91766364989883309</v>
      </c>
      <c r="O58" s="10">
        <f t="shared" si="30"/>
        <v>0.88731279543801245</v>
      </c>
      <c r="P58" s="10">
        <f t="shared" si="30"/>
        <v>1.0456040414298606</v>
      </c>
      <c r="Q58" s="10">
        <f t="shared" si="30"/>
        <v>1.3085539253138694</v>
      </c>
      <c r="R58" s="10">
        <f t="shared" si="30"/>
        <v>1.6920907165907786</v>
      </c>
      <c r="S58" s="10"/>
      <c r="T58" s="10">
        <f t="shared" si="31"/>
        <v>0.91766364989883309</v>
      </c>
      <c r="U58" s="10">
        <f t="shared" si="31"/>
        <v>0.84294715566611178</v>
      </c>
      <c r="V58" s="10">
        <f t="shared" si="31"/>
        <v>0.94365764739044922</v>
      </c>
      <c r="W58" s="10">
        <f t="shared" si="31"/>
        <v>1.1219214217159788</v>
      </c>
      <c r="X58" s="10">
        <f t="shared" si="31"/>
        <v>1.3782184642301676</v>
      </c>
      <c r="Y58" s="10"/>
      <c r="Z58" s="10"/>
      <c r="AA58" s="10"/>
      <c r="AB58" s="10"/>
      <c r="AC58" s="10"/>
      <c r="AD58" s="10"/>
      <c r="AE58" s="10"/>
      <c r="AF58" s="10"/>
      <c r="AG58" s="10"/>
      <c r="AH58" s="10"/>
      <c r="AI58" s="10"/>
      <c r="AJ58" s="10"/>
      <c r="AK58" s="10"/>
      <c r="AL58" s="10"/>
      <c r="AM58" s="10"/>
      <c r="AN58" s="10"/>
      <c r="AO58" s="10"/>
      <c r="AP58" s="10"/>
      <c r="AQ58" s="10"/>
      <c r="AR58" s="10"/>
    </row>
    <row r="59" spans="1:44">
      <c r="A59" s="225" t="s">
        <v>16</v>
      </c>
      <c r="B59" s="226" t="str">
        <f>B23</f>
        <v>TFRCO</v>
      </c>
      <c r="C59" s="226" t="str">
        <f>C36</f>
        <v>Transport Freight - Rail Corridor</v>
      </c>
      <c r="D59" s="225" t="s">
        <v>149</v>
      </c>
      <c r="F59" s="10">
        <f>F102</f>
        <v>22</v>
      </c>
      <c r="G59" s="10">
        <f t="shared" si="26"/>
        <v>23.057336578097956</v>
      </c>
      <c r="H59" s="10">
        <f t="shared" si="26"/>
        <v>23.44080369700621</v>
      </c>
      <c r="I59" s="10">
        <f t="shared" si="26"/>
        <v>22.294737049596247</v>
      </c>
      <c r="J59" s="10">
        <f t="shared" si="26"/>
        <v>26.271983545742096</v>
      </c>
      <c r="K59" s="10">
        <f t="shared" si="26"/>
        <v>32.878896630458662</v>
      </c>
      <c r="L59" s="10">
        <f t="shared" si="26"/>
        <v>42.515692081090634</v>
      </c>
      <c r="N59" s="10">
        <f t="shared" si="30"/>
        <v>23.057336578097956</v>
      </c>
      <c r="O59" s="10">
        <f>O36*O$60</f>
        <v>22.294737049596247</v>
      </c>
      <c r="P59" s="10">
        <f>P36*P$60</f>
        <v>26.271983545742096</v>
      </c>
      <c r="Q59" s="10">
        <f>Q36*Q$60</f>
        <v>32.878896630458662</v>
      </c>
      <c r="R59" s="10">
        <f>R36*R$60</f>
        <v>42.515692081090634</v>
      </c>
      <c r="S59" s="10"/>
      <c r="T59" s="10">
        <f t="shared" si="31"/>
        <v>23.057336578097956</v>
      </c>
      <c r="U59" s="10">
        <f t="shared" si="31"/>
        <v>27.015115427001614</v>
      </c>
      <c r="V59" s="10">
        <f t="shared" si="31"/>
        <v>37.118791042539939</v>
      </c>
      <c r="W59" s="10">
        <f t="shared" si="31"/>
        <v>52.736066256185204</v>
      </c>
      <c r="X59" s="10">
        <f>X36*X$60</f>
        <v>75.910810486414007</v>
      </c>
      <c r="Y59" s="10"/>
      <c r="Z59" s="10"/>
      <c r="AA59" s="10"/>
      <c r="AB59" s="10"/>
      <c r="AC59" s="10"/>
      <c r="AD59" s="10"/>
      <c r="AE59" s="10"/>
      <c r="AF59" s="10"/>
      <c r="AG59" s="10"/>
      <c r="AH59" s="10"/>
      <c r="AI59" s="10"/>
      <c r="AJ59" s="10"/>
      <c r="AK59" s="10"/>
      <c r="AL59" s="10"/>
      <c r="AM59" s="10"/>
      <c r="AN59" s="10"/>
      <c r="AO59" s="10"/>
      <c r="AP59" s="10"/>
      <c r="AQ59" s="10"/>
      <c r="AR59" s="10"/>
    </row>
    <row r="60" spans="1:44">
      <c r="A60" s="225" t="s">
        <v>16</v>
      </c>
      <c r="B60" s="226"/>
      <c r="C60" s="3" t="s">
        <v>5</v>
      </c>
      <c r="D60" s="5" t="s">
        <v>149</v>
      </c>
      <c r="E60" s="5"/>
      <c r="F60" s="49">
        <f>SUM(F51:F59)</f>
        <v>115.15949685515432</v>
      </c>
      <c r="G60" s="49">
        <f>F60*(1+(F22+G22)/2*((G7/F7)^(1/(G$4-F$4))-1))^(G$4-F$4)</f>
        <v>120.69414905244122</v>
      </c>
      <c r="H60" s="49">
        <f>G60*(1+(G22+H22)/2*((H7/G7)^(1/(H$4-G$4))-1))^(H$4-G$4)</f>
        <v>122.70141634671258</v>
      </c>
      <c r="I60" s="49">
        <f>G60*(1+(G22+I22)/2*((I7/G7)^(1/(I$4-G$4))-1))^(I$4-G$4)</f>
        <v>116.70230459770328</v>
      </c>
      <c r="J60" s="49">
        <f>I60*(1+(I22+J22)/2*((J7/I7)^(1/(J$4-I$4))-1))^(J$4-I$4)</f>
        <v>137.52129120520698</v>
      </c>
      <c r="K60" s="49">
        <f>J60*(1+(J22+K22)/2*((K7/J7)^(1/(K$4-J$4))-1))^(K$4-J$4)</f>
        <v>172.10532695982951</v>
      </c>
      <c r="L60" s="49">
        <f>K60*(1+(K22+L22)/2*((L7/K7)^(1/(L$4-K$4))-1))^(L$4-K$4)</f>
        <v>222.54935038668486</v>
      </c>
      <c r="N60" s="86">
        <f>$G60</f>
        <v>120.69414905244122</v>
      </c>
      <c r="O60" s="49">
        <f>N60*(1+(N22+O22)/2*((O7/N7)^(1/(O$4-N$4))-1))^(O$4-N$4)</f>
        <v>116.70230459770328</v>
      </c>
      <c r="P60" s="49">
        <f>O60*(1+(O22+P22)/2*((P7/O7)^(1/(P$4-O$4))-1))^(P$4-O$4)</f>
        <v>137.52129120520698</v>
      </c>
      <c r="Q60" s="49">
        <f>P60*(1+(P22+Q22)/2*((Q7/P7)^(1/(Q$4-P$4))-1))^(Q$4-P$4)</f>
        <v>172.10532695982951</v>
      </c>
      <c r="R60" s="49">
        <f>Q60*(1+(Q22+R22)/2*((R7/Q7)^(1/(R$4-Q$4))-1))^(R$4-Q$4)</f>
        <v>222.54935038668486</v>
      </c>
      <c r="T60" s="86">
        <f>$G60</f>
        <v>120.69414905244122</v>
      </c>
      <c r="U60" s="49">
        <f>T60*(1+(T22+U22)/2*((U7/T7)^(1/(U$4-T$4))-1))^(U$4-T$4)</f>
        <v>116.70230459770328</v>
      </c>
      <c r="V60" s="49">
        <f>U60*(1+(U22+V22)/2*((V7/U7)^(1/(V$4-U$4))-1))^(V$4-U$4)</f>
        <v>137.52129120520698</v>
      </c>
      <c r="W60" s="49">
        <f>V60*(1+(V22+W22)/2*((W7/V7)^(1/(W$4-V$4))-1))^(W$4-V$4)</f>
        <v>172.10532695982951</v>
      </c>
      <c r="X60" s="49">
        <f>W60*(1+(W22+X22)/2*((X7/W7)^(1/(X$4-W$4))-1))^(X$4-W$4)</f>
        <v>222.54935038668486</v>
      </c>
    </row>
    <row r="61" spans="1:44">
      <c r="A61" s="225" t="s">
        <v>16</v>
      </c>
      <c r="B61" s="226"/>
      <c r="C61" s="3"/>
      <c r="D61" s="5"/>
      <c r="E61" s="5"/>
      <c r="F61" s="49"/>
      <c r="G61" s="10"/>
      <c r="H61" s="10"/>
      <c r="I61" s="10"/>
      <c r="J61" s="10"/>
      <c r="K61" s="10"/>
      <c r="L61" s="10"/>
    </row>
    <row r="62" spans="1:44" ht="15.75" thickBot="1">
      <c r="A62" s="225" t="s">
        <v>16</v>
      </c>
      <c r="B62" s="14" t="s">
        <v>148</v>
      </c>
      <c r="C62" s="14"/>
      <c r="D62" s="14"/>
    </row>
    <row r="63" spans="1:44">
      <c r="A63" s="225" t="s">
        <v>16</v>
      </c>
      <c r="B63" s="225" t="s">
        <v>151</v>
      </c>
      <c r="C63" s="225" t="s">
        <v>152</v>
      </c>
      <c r="D63" s="225" t="s">
        <v>147</v>
      </c>
      <c r="F63" s="51">
        <f>[3]Calib_1011!$AC$36</f>
        <v>0.39785406833795833</v>
      </c>
      <c r="G63" s="65">
        <f t="shared" ref="G63:H72" si="32">F63</f>
        <v>0.39785406833795833</v>
      </c>
      <c r="H63" s="65">
        <f t="shared" si="32"/>
        <v>0.39785406833795833</v>
      </c>
      <c r="I63" s="65">
        <f t="shared" ref="I63:L72" si="33">IF($D$4,U63,O63)</f>
        <v>0.39785406833795833</v>
      </c>
      <c r="J63" s="65">
        <f t="shared" si="33"/>
        <v>0.39785406833795833</v>
      </c>
      <c r="K63" s="65">
        <f t="shared" si="33"/>
        <v>0.39785406833795833</v>
      </c>
      <c r="L63" s="65">
        <f t="shared" si="33"/>
        <v>0.39785406833795833</v>
      </c>
      <c r="M63" s="226"/>
      <c r="N63" s="86">
        <f>$G63</f>
        <v>0.39785406833795833</v>
      </c>
      <c r="O63" s="47">
        <f t="shared" ref="O63:Q72" si="34">N63</f>
        <v>0.39785406833795833</v>
      </c>
      <c r="P63" s="47">
        <f t="shared" si="34"/>
        <v>0.39785406833795833</v>
      </c>
      <c r="Q63" s="47">
        <f t="shared" si="34"/>
        <v>0.39785406833795833</v>
      </c>
      <c r="R63" s="47">
        <f>P63</f>
        <v>0.39785406833795833</v>
      </c>
      <c r="S63" s="276"/>
      <c r="T63" s="86">
        <f>$G63</f>
        <v>0.39785406833795833</v>
      </c>
      <c r="U63" s="47">
        <f t="shared" ref="U63:W72" si="35">T63</f>
        <v>0.39785406833795833</v>
      </c>
      <c r="V63" s="47">
        <f t="shared" si="35"/>
        <v>0.39785406833795833</v>
      </c>
      <c r="W63" s="47">
        <f t="shared" si="35"/>
        <v>0.39785406833795833</v>
      </c>
      <c r="X63" s="47">
        <f>V63</f>
        <v>0.39785406833795833</v>
      </c>
      <c r="Y63" s="276"/>
      <c r="Z63" s="276"/>
      <c r="AA63" s="276"/>
      <c r="AB63" s="276"/>
      <c r="AC63" s="276"/>
      <c r="AD63" s="276"/>
      <c r="AE63" s="276"/>
      <c r="AF63" s="276"/>
      <c r="AG63" s="276"/>
      <c r="AH63" s="276"/>
      <c r="AI63" s="276"/>
      <c r="AJ63" s="276"/>
      <c r="AK63" s="276"/>
      <c r="AL63" s="276"/>
      <c r="AM63" s="276"/>
      <c r="AN63" s="276"/>
      <c r="AO63" s="276"/>
      <c r="AP63" s="276"/>
      <c r="AQ63" s="276"/>
      <c r="AR63" s="276"/>
    </row>
    <row r="64" spans="1:44">
      <c r="A64" s="225" t="s">
        <v>16</v>
      </c>
      <c r="B64" s="225" t="s">
        <v>417</v>
      </c>
      <c r="C64" s="225" t="s">
        <v>426</v>
      </c>
      <c r="D64" s="225" t="s">
        <v>147</v>
      </c>
      <c r="F64" s="51">
        <f>[3]Calib_1011!$AC$35</f>
        <v>1.4841793377794028</v>
      </c>
      <c r="G64" s="65">
        <f t="shared" si="32"/>
        <v>1.4841793377794028</v>
      </c>
      <c r="H64" s="65">
        <f t="shared" si="32"/>
        <v>1.4841793377794028</v>
      </c>
      <c r="I64" s="65">
        <f t="shared" si="33"/>
        <v>1.4841793377794028</v>
      </c>
      <c r="J64" s="65">
        <f t="shared" si="33"/>
        <v>1.4841793377794028</v>
      </c>
      <c r="K64" s="65">
        <f t="shared" si="33"/>
        <v>1.4841793377794028</v>
      </c>
      <c r="L64" s="65">
        <f t="shared" si="33"/>
        <v>1.4841793377794028</v>
      </c>
      <c r="M64" s="226"/>
      <c r="N64" s="86">
        <f t="shared" ref="N64:N70" si="36">$G64</f>
        <v>1.4841793377794028</v>
      </c>
      <c r="O64" s="47">
        <f t="shared" si="34"/>
        <v>1.4841793377794028</v>
      </c>
      <c r="P64" s="47">
        <f t="shared" si="34"/>
        <v>1.4841793377794028</v>
      </c>
      <c r="Q64" s="47">
        <f t="shared" si="34"/>
        <v>1.4841793377794028</v>
      </c>
      <c r="R64" s="47">
        <f t="shared" ref="R64:R70" si="37">P64</f>
        <v>1.4841793377794028</v>
      </c>
      <c r="S64" s="276"/>
      <c r="T64" s="86">
        <f t="shared" ref="T64:T70" si="38">$G64</f>
        <v>1.4841793377794028</v>
      </c>
      <c r="U64" s="47">
        <f t="shared" si="35"/>
        <v>1.4841793377794028</v>
      </c>
      <c r="V64" s="47">
        <f t="shared" si="35"/>
        <v>1.4841793377794028</v>
      </c>
      <c r="W64" s="47">
        <f t="shared" si="35"/>
        <v>1.4841793377794028</v>
      </c>
      <c r="X64" s="47">
        <f t="shared" ref="X64:X70" si="39">V64</f>
        <v>1.4841793377794028</v>
      </c>
      <c r="Y64" s="276"/>
      <c r="Z64" s="276"/>
      <c r="AA64" s="276"/>
      <c r="AB64" s="276"/>
      <c r="AC64" s="276"/>
      <c r="AD64" s="276"/>
      <c r="AE64" s="276"/>
      <c r="AF64" s="276"/>
      <c r="AG64" s="276"/>
      <c r="AH64" s="276"/>
      <c r="AI64" s="276"/>
      <c r="AJ64" s="276"/>
      <c r="AK64" s="276"/>
      <c r="AL64" s="276"/>
      <c r="AM64" s="276"/>
      <c r="AN64" s="276"/>
      <c r="AO64" s="276"/>
      <c r="AP64" s="276"/>
      <c r="AQ64" s="276"/>
      <c r="AR64" s="276"/>
    </row>
    <row r="65" spans="1:44">
      <c r="A65" s="225" t="s">
        <v>16</v>
      </c>
      <c r="B65" s="225" t="s">
        <v>418</v>
      </c>
      <c r="C65" s="225" t="s">
        <v>427</v>
      </c>
      <c r="D65" s="225" t="s">
        <v>147</v>
      </c>
      <c r="F65" s="51">
        <f>[3]Calib_1011!$AC27</f>
        <v>2.5010052180158762</v>
      </c>
      <c r="G65" s="65">
        <f t="shared" si="32"/>
        <v>2.5010052180158762</v>
      </c>
      <c r="H65" s="65">
        <f t="shared" si="32"/>
        <v>2.5010052180158762</v>
      </c>
      <c r="I65" s="65">
        <f t="shared" si="33"/>
        <v>2.5010052180158762</v>
      </c>
      <c r="J65" s="65">
        <f t="shared" si="33"/>
        <v>2.5010052180158762</v>
      </c>
      <c r="K65" s="65">
        <f t="shared" si="33"/>
        <v>2.5010052180158762</v>
      </c>
      <c r="L65" s="65">
        <f t="shared" si="33"/>
        <v>2.5010052180158762</v>
      </c>
      <c r="M65" s="226"/>
      <c r="N65" s="86">
        <f t="shared" si="36"/>
        <v>2.5010052180158762</v>
      </c>
      <c r="O65" s="47">
        <f t="shared" si="34"/>
        <v>2.5010052180158762</v>
      </c>
      <c r="P65" s="47">
        <f t="shared" si="34"/>
        <v>2.5010052180158762</v>
      </c>
      <c r="Q65" s="47">
        <f t="shared" si="34"/>
        <v>2.5010052180158762</v>
      </c>
      <c r="R65" s="47">
        <f t="shared" si="37"/>
        <v>2.5010052180158762</v>
      </c>
      <c r="S65" s="276"/>
      <c r="T65" s="86">
        <f t="shared" si="38"/>
        <v>2.5010052180158762</v>
      </c>
      <c r="U65" s="47">
        <f t="shared" si="35"/>
        <v>2.5010052180158762</v>
      </c>
      <c r="V65" s="47">
        <f t="shared" si="35"/>
        <v>2.5010052180158762</v>
      </c>
      <c r="W65" s="47">
        <f t="shared" si="35"/>
        <v>2.5010052180158762</v>
      </c>
      <c r="X65" s="47">
        <f t="shared" si="39"/>
        <v>2.5010052180158762</v>
      </c>
      <c r="Y65" s="276"/>
      <c r="Z65" s="276"/>
      <c r="AA65" s="276"/>
      <c r="AB65" s="276"/>
      <c r="AC65" s="276"/>
      <c r="AD65" s="276"/>
      <c r="AE65" s="276"/>
      <c r="AF65" s="276"/>
      <c r="AG65" s="276"/>
      <c r="AH65" s="276"/>
      <c r="AI65" s="276"/>
      <c r="AJ65" s="276"/>
      <c r="AK65" s="276"/>
      <c r="AL65" s="276"/>
      <c r="AM65" s="276"/>
      <c r="AN65" s="276"/>
      <c r="AO65" s="276"/>
      <c r="AP65" s="276"/>
      <c r="AQ65" s="276"/>
      <c r="AR65" s="276"/>
    </row>
    <row r="66" spans="1:44">
      <c r="A66" s="225" t="s">
        <v>16</v>
      </c>
      <c r="B66" s="225" t="s">
        <v>419</v>
      </c>
      <c r="C66" s="225" t="s">
        <v>428</v>
      </c>
      <c r="D66" s="225" t="s">
        <v>147</v>
      </c>
      <c r="F66" s="51">
        <f>[3]Calib_1011!$AC28</f>
        <v>3.8604597839440302</v>
      </c>
      <c r="G66" s="65">
        <f t="shared" si="32"/>
        <v>3.8604597839440302</v>
      </c>
      <c r="H66" s="65">
        <f t="shared" si="32"/>
        <v>3.8604597839440302</v>
      </c>
      <c r="I66" s="65">
        <f t="shared" si="33"/>
        <v>3.8604597839440302</v>
      </c>
      <c r="J66" s="65">
        <f t="shared" si="33"/>
        <v>3.8604597839440302</v>
      </c>
      <c r="K66" s="65">
        <f t="shared" si="33"/>
        <v>3.8604597839440302</v>
      </c>
      <c r="L66" s="65">
        <f t="shared" si="33"/>
        <v>3.8604597839440302</v>
      </c>
      <c r="M66" s="226"/>
      <c r="N66" s="86">
        <f t="shared" si="36"/>
        <v>3.8604597839440302</v>
      </c>
      <c r="O66" s="47">
        <f t="shared" si="34"/>
        <v>3.8604597839440302</v>
      </c>
      <c r="P66" s="47">
        <f t="shared" si="34"/>
        <v>3.8604597839440302</v>
      </c>
      <c r="Q66" s="47">
        <f t="shared" si="34"/>
        <v>3.8604597839440302</v>
      </c>
      <c r="R66" s="47">
        <f t="shared" si="37"/>
        <v>3.8604597839440302</v>
      </c>
      <c r="S66" s="276"/>
      <c r="T66" s="86">
        <f t="shared" si="38"/>
        <v>3.8604597839440302</v>
      </c>
      <c r="U66" s="47">
        <f t="shared" si="35"/>
        <v>3.8604597839440302</v>
      </c>
      <c r="V66" s="47">
        <f t="shared" si="35"/>
        <v>3.8604597839440302</v>
      </c>
      <c r="W66" s="47">
        <f t="shared" si="35"/>
        <v>3.8604597839440302</v>
      </c>
      <c r="X66" s="47">
        <f t="shared" si="39"/>
        <v>3.8604597839440302</v>
      </c>
      <c r="Y66" s="276"/>
      <c r="Z66" s="276"/>
      <c r="AA66" s="276"/>
      <c r="AB66" s="276"/>
      <c r="AC66" s="276"/>
      <c r="AD66" s="276"/>
      <c r="AE66" s="276"/>
      <c r="AF66" s="276"/>
      <c r="AG66" s="276"/>
      <c r="AH66" s="276"/>
      <c r="AI66" s="276"/>
      <c r="AJ66" s="276"/>
      <c r="AK66" s="276"/>
      <c r="AL66" s="276"/>
      <c r="AM66" s="276"/>
      <c r="AN66" s="276"/>
      <c r="AO66" s="276"/>
      <c r="AP66" s="276"/>
      <c r="AQ66" s="276"/>
      <c r="AR66" s="276"/>
    </row>
    <row r="67" spans="1:44">
      <c r="A67" s="225" t="s">
        <v>16</v>
      </c>
      <c r="B67" s="225" t="s">
        <v>420</v>
      </c>
      <c r="C67" s="225" t="s">
        <v>429</v>
      </c>
      <c r="D67" s="225" t="s">
        <v>147</v>
      </c>
      <c r="F67" s="51">
        <f>[3]Calib_1011!$AC29</f>
        <v>6.0039084459078387</v>
      </c>
      <c r="G67" s="65">
        <f t="shared" si="32"/>
        <v>6.0039084459078387</v>
      </c>
      <c r="H67" s="65">
        <f t="shared" si="32"/>
        <v>6.0039084459078387</v>
      </c>
      <c r="I67" s="65">
        <f t="shared" si="33"/>
        <v>6.0039084459078387</v>
      </c>
      <c r="J67" s="65">
        <f t="shared" si="33"/>
        <v>6.0039084459078387</v>
      </c>
      <c r="K67" s="65">
        <f t="shared" si="33"/>
        <v>6.0039084459078387</v>
      </c>
      <c r="L67" s="65">
        <f t="shared" si="33"/>
        <v>6.0039084459078387</v>
      </c>
      <c r="M67" s="226"/>
      <c r="N67" s="86">
        <f t="shared" si="36"/>
        <v>6.0039084459078387</v>
      </c>
      <c r="O67" s="47">
        <f t="shared" si="34"/>
        <v>6.0039084459078387</v>
      </c>
      <c r="P67" s="47">
        <f t="shared" si="34"/>
        <v>6.0039084459078387</v>
      </c>
      <c r="Q67" s="47">
        <f t="shared" si="34"/>
        <v>6.0039084459078387</v>
      </c>
      <c r="R67" s="47">
        <f t="shared" si="37"/>
        <v>6.0039084459078387</v>
      </c>
      <c r="S67" s="276"/>
      <c r="T67" s="86">
        <f t="shared" si="38"/>
        <v>6.0039084459078387</v>
      </c>
      <c r="U67" s="47">
        <f t="shared" si="35"/>
        <v>6.0039084459078387</v>
      </c>
      <c r="V67" s="47">
        <f t="shared" si="35"/>
        <v>6.0039084459078387</v>
      </c>
      <c r="W67" s="47">
        <f t="shared" si="35"/>
        <v>6.0039084459078387</v>
      </c>
      <c r="X67" s="47">
        <f t="shared" si="39"/>
        <v>6.0039084459078387</v>
      </c>
      <c r="Y67" s="276"/>
      <c r="Z67" s="276"/>
      <c r="AA67" s="276"/>
      <c r="AB67" s="276"/>
      <c r="AC67" s="276"/>
      <c r="AD67" s="276"/>
      <c r="AE67" s="276"/>
      <c r="AF67" s="276"/>
      <c r="AG67" s="276"/>
      <c r="AH67" s="276"/>
      <c r="AI67" s="276"/>
      <c r="AJ67" s="276"/>
      <c r="AK67" s="276"/>
      <c r="AL67" s="276"/>
      <c r="AM67" s="276"/>
      <c r="AN67" s="276"/>
      <c r="AO67" s="276"/>
      <c r="AP67" s="276"/>
      <c r="AQ67" s="276"/>
      <c r="AR67" s="276"/>
    </row>
    <row r="68" spans="1:44">
      <c r="A68" s="225" t="s">
        <v>16</v>
      </c>
      <c r="B68" s="225" t="s">
        <v>421</v>
      </c>
      <c r="C68" s="225" t="s">
        <v>430</v>
      </c>
      <c r="D68" s="225" t="s">
        <v>147</v>
      </c>
      <c r="F68" s="51">
        <f>[3]Calib_1011!$AC30</f>
        <v>7.4777222934684477</v>
      </c>
      <c r="G68" s="65">
        <f t="shared" si="32"/>
        <v>7.4777222934684477</v>
      </c>
      <c r="H68" s="65">
        <f t="shared" si="32"/>
        <v>7.4777222934684477</v>
      </c>
      <c r="I68" s="65">
        <f t="shared" si="33"/>
        <v>7.4777222934684477</v>
      </c>
      <c r="J68" s="65">
        <f t="shared" si="33"/>
        <v>7.4777222934684477</v>
      </c>
      <c r="K68" s="65">
        <f t="shared" si="33"/>
        <v>7.4777222934684477</v>
      </c>
      <c r="L68" s="65">
        <f t="shared" si="33"/>
        <v>7.4777222934684477</v>
      </c>
      <c r="M68" s="226"/>
      <c r="N68" s="86">
        <f t="shared" si="36"/>
        <v>7.4777222934684477</v>
      </c>
      <c r="O68" s="47">
        <f t="shared" si="34"/>
        <v>7.4777222934684477</v>
      </c>
      <c r="P68" s="47">
        <f t="shared" si="34"/>
        <v>7.4777222934684477</v>
      </c>
      <c r="Q68" s="47">
        <f t="shared" si="34"/>
        <v>7.4777222934684477</v>
      </c>
      <c r="R68" s="47">
        <f t="shared" si="37"/>
        <v>7.4777222934684477</v>
      </c>
      <c r="S68" s="276"/>
      <c r="T68" s="86">
        <f t="shared" si="38"/>
        <v>7.4777222934684477</v>
      </c>
      <c r="U68" s="47">
        <f t="shared" si="35"/>
        <v>7.4777222934684477</v>
      </c>
      <c r="V68" s="47">
        <f t="shared" si="35"/>
        <v>7.4777222934684477</v>
      </c>
      <c r="W68" s="47">
        <f t="shared" si="35"/>
        <v>7.4777222934684477</v>
      </c>
      <c r="X68" s="47">
        <f t="shared" si="39"/>
        <v>7.4777222934684477</v>
      </c>
      <c r="Y68" s="276"/>
      <c r="Z68" s="276"/>
      <c r="AA68" s="276"/>
      <c r="AB68" s="276"/>
      <c r="AC68" s="276"/>
      <c r="AD68" s="276"/>
      <c r="AE68" s="276"/>
      <c r="AF68" s="276"/>
      <c r="AG68" s="276"/>
      <c r="AH68" s="276"/>
      <c r="AI68" s="276"/>
      <c r="AJ68" s="276"/>
      <c r="AK68" s="276"/>
      <c r="AL68" s="276"/>
      <c r="AM68" s="276"/>
      <c r="AN68" s="276"/>
      <c r="AO68" s="276"/>
      <c r="AP68" s="276"/>
      <c r="AQ68" s="276"/>
      <c r="AR68" s="276"/>
    </row>
    <row r="69" spans="1:44">
      <c r="A69" s="225" t="s">
        <v>16</v>
      </c>
      <c r="B69" s="225" t="s">
        <v>422</v>
      </c>
      <c r="C69" s="225" t="s">
        <v>431</v>
      </c>
      <c r="D69" s="225" t="s">
        <v>147</v>
      </c>
      <c r="F69" s="51">
        <f>[3]Calib_1011!$AC31</f>
        <v>10.302260917235891</v>
      </c>
      <c r="G69" s="65">
        <f t="shared" si="32"/>
        <v>10.302260917235891</v>
      </c>
      <c r="H69" s="65">
        <f t="shared" si="32"/>
        <v>10.302260917235891</v>
      </c>
      <c r="I69" s="65">
        <f t="shared" si="33"/>
        <v>10.302260917235891</v>
      </c>
      <c r="J69" s="65">
        <f t="shared" si="33"/>
        <v>10.302260917235891</v>
      </c>
      <c r="K69" s="65">
        <f t="shared" si="33"/>
        <v>10.302260917235891</v>
      </c>
      <c r="L69" s="65">
        <f t="shared" si="33"/>
        <v>10.302260917235891</v>
      </c>
      <c r="M69" s="226"/>
      <c r="N69" s="86">
        <f t="shared" si="36"/>
        <v>10.302260917235891</v>
      </c>
      <c r="O69" s="47">
        <f t="shared" si="34"/>
        <v>10.302260917235891</v>
      </c>
      <c r="P69" s="47">
        <f t="shared" si="34"/>
        <v>10.302260917235891</v>
      </c>
      <c r="Q69" s="47">
        <f t="shared" si="34"/>
        <v>10.302260917235891</v>
      </c>
      <c r="R69" s="47">
        <f t="shared" si="37"/>
        <v>10.302260917235891</v>
      </c>
      <c r="S69" s="276"/>
      <c r="T69" s="86">
        <f t="shared" si="38"/>
        <v>10.302260917235891</v>
      </c>
      <c r="U69" s="47">
        <f t="shared" si="35"/>
        <v>10.302260917235891</v>
      </c>
      <c r="V69" s="47">
        <f t="shared" si="35"/>
        <v>10.302260917235891</v>
      </c>
      <c r="W69" s="47">
        <f t="shared" si="35"/>
        <v>10.302260917235891</v>
      </c>
      <c r="X69" s="47">
        <f t="shared" si="39"/>
        <v>10.302260917235891</v>
      </c>
      <c r="Y69" s="276"/>
      <c r="Z69" s="276"/>
      <c r="AA69" s="276"/>
      <c r="AB69" s="276"/>
      <c r="AC69" s="276"/>
      <c r="AD69" s="276"/>
      <c r="AE69" s="276"/>
      <c r="AF69" s="276"/>
      <c r="AG69" s="276"/>
      <c r="AH69" s="276"/>
      <c r="AI69" s="276"/>
      <c r="AJ69" s="276"/>
      <c r="AK69" s="276"/>
      <c r="AL69" s="276"/>
      <c r="AM69" s="276"/>
      <c r="AN69" s="276"/>
      <c r="AO69" s="276"/>
      <c r="AP69" s="276"/>
      <c r="AQ69" s="276"/>
      <c r="AR69" s="276"/>
    </row>
    <row r="70" spans="1:44">
      <c r="A70" s="225" t="s">
        <v>16</v>
      </c>
      <c r="B70" s="225" t="s">
        <v>423</v>
      </c>
      <c r="C70" s="225" t="s">
        <v>432</v>
      </c>
      <c r="D70" s="225" t="s">
        <v>147</v>
      </c>
      <c r="F70" s="51">
        <f>[3]Calib_1011!$AC32</f>
        <v>13.929123617232234</v>
      </c>
      <c r="G70" s="65">
        <f t="shared" si="32"/>
        <v>13.929123617232234</v>
      </c>
      <c r="H70" s="65">
        <f t="shared" si="32"/>
        <v>13.929123617232234</v>
      </c>
      <c r="I70" s="65">
        <f t="shared" si="33"/>
        <v>13.929123617232234</v>
      </c>
      <c r="J70" s="65">
        <f t="shared" si="33"/>
        <v>13.929123617232234</v>
      </c>
      <c r="K70" s="65">
        <f t="shared" si="33"/>
        <v>13.929123617232234</v>
      </c>
      <c r="L70" s="65">
        <f t="shared" si="33"/>
        <v>13.929123617232234</v>
      </c>
      <c r="M70" s="226"/>
      <c r="N70" s="86">
        <f t="shared" si="36"/>
        <v>13.929123617232234</v>
      </c>
      <c r="O70" s="47">
        <f t="shared" si="34"/>
        <v>13.929123617232234</v>
      </c>
      <c r="P70" s="47">
        <f t="shared" si="34"/>
        <v>13.929123617232234</v>
      </c>
      <c r="Q70" s="47">
        <f t="shared" si="34"/>
        <v>13.929123617232234</v>
      </c>
      <c r="R70" s="47">
        <f t="shared" si="37"/>
        <v>13.929123617232234</v>
      </c>
      <c r="S70" s="276"/>
      <c r="T70" s="86">
        <f t="shared" si="38"/>
        <v>13.929123617232234</v>
      </c>
      <c r="U70" s="47">
        <f t="shared" si="35"/>
        <v>13.929123617232234</v>
      </c>
      <c r="V70" s="47">
        <f t="shared" si="35"/>
        <v>13.929123617232234</v>
      </c>
      <c r="W70" s="47">
        <f t="shared" si="35"/>
        <v>13.929123617232234</v>
      </c>
      <c r="X70" s="47">
        <f t="shared" si="39"/>
        <v>13.929123617232234</v>
      </c>
      <c r="Y70" s="276"/>
      <c r="Z70" s="276"/>
      <c r="AA70" s="276"/>
      <c r="AB70" s="276"/>
      <c r="AC70" s="276"/>
      <c r="AD70" s="276"/>
      <c r="AE70" s="276"/>
      <c r="AF70" s="276"/>
      <c r="AG70" s="276"/>
      <c r="AH70" s="276"/>
      <c r="AI70" s="276"/>
      <c r="AJ70" s="276"/>
      <c r="AK70" s="276"/>
      <c r="AL70" s="276"/>
      <c r="AM70" s="276"/>
      <c r="AN70" s="276"/>
      <c r="AO70" s="276"/>
      <c r="AP70" s="276"/>
      <c r="AQ70" s="276"/>
      <c r="AR70" s="276"/>
    </row>
    <row r="71" spans="1:44">
      <c r="A71" s="225" t="s">
        <v>16</v>
      </c>
      <c r="B71" s="225" t="s">
        <v>424</v>
      </c>
      <c r="C71" s="225" t="s">
        <v>433</v>
      </c>
      <c r="D71" s="225" t="s">
        <v>147</v>
      </c>
      <c r="F71" s="51">
        <f>[3]Calib_1011!$AC33</f>
        <v>17.52549021473704</v>
      </c>
      <c r="G71" s="65">
        <f t="shared" si="32"/>
        <v>17.52549021473704</v>
      </c>
      <c r="H71" s="65">
        <f t="shared" si="32"/>
        <v>17.52549021473704</v>
      </c>
      <c r="I71" s="65">
        <f t="shared" si="33"/>
        <v>17.52549021473704</v>
      </c>
      <c r="J71" s="65">
        <f t="shared" si="33"/>
        <v>17.52549021473704</v>
      </c>
      <c r="K71" s="65">
        <f t="shared" si="33"/>
        <v>17.52549021473704</v>
      </c>
      <c r="L71" s="65">
        <f t="shared" si="33"/>
        <v>17.52549021473704</v>
      </c>
      <c r="M71" s="226"/>
      <c r="N71" s="86">
        <f>$G71</f>
        <v>17.52549021473704</v>
      </c>
      <c r="O71" s="47">
        <f t="shared" si="34"/>
        <v>17.52549021473704</v>
      </c>
      <c r="P71" s="47">
        <f t="shared" si="34"/>
        <v>17.52549021473704</v>
      </c>
      <c r="Q71" s="47">
        <f t="shared" si="34"/>
        <v>17.52549021473704</v>
      </c>
      <c r="R71" s="47">
        <f>P71</f>
        <v>17.52549021473704</v>
      </c>
      <c r="S71" s="276"/>
      <c r="T71" s="86">
        <f>$G71</f>
        <v>17.52549021473704</v>
      </c>
      <c r="U71" s="47">
        <f t="shared" si="35"/>
        <v>17.52549021473704</v>
      </c>
      <c r="V71" s="47">
        <f t="shared" si="35"/>
        <v>17.52549021473704</v>
      </c>
      <c r="W71" s="47">
        <f t="shared" si="35"/>
        <v>17.52549021473704</v>
      </c>
      <c r="X71" s="47">
        <f>V71</f>
        <v>17.52549021473704</v>
      </c>
      <c r="Y71" s="276"/>
      <c r="Z71" s="276"/>
      <c r="AA71" s="276"/>
      <c r="AB71" s="276"/>
      <c r="AC71" s="276"/>
      <c r="AD71" s="276"/>
      <c r="AE71" s="276"/>
      <c r="AF71" s="276"/>
      <c r="AG71" s="276"/>
      <c r="AH71" s="276"/>
      <c r="AI71" s="276"/>
      <c r="AJ71" s="276"/>
      <c r="AK71" s="276"/>
      <c r="AL71" s="276"/>
      <c r="AM71" s="276"/>
      <c r="AN71" s="276"/>
      <c r="AO71" s="276"/>
      <c r="AP71" s="276"/>
      <c r="AQ71" s="276"/>
      <c r="AR71" s="276"/>
    </row>
    <row r="72" spans="1:44">
      <c r="A72" s="225" t="s">
        <v>16</v>
      </c>
      <c r="B72" s="225" t="s">
        <v>425</v>
      </c>
      <c r="C72" s="225" t="s">
        <v>434</v>
      </c>
      <c r="D72" s="225" t="s">
        <v>147</v>
      </c>
      <c r="F72" s="51">
        <f>[3]Calib_1011!$AC34</f>
        <v>21.906335545077848</v>
      </c>
      <c r="G72" s="65">
        <f t="shared" si="32"/>
        <v>21.906335545077848</v>
      </c>
      <c r="H72" s="65">
        <f t="shared" si="32"/>
        <v>21.906335545077848</v>
      </c>
      <c r="I72" s="65">
        <f t="shared" si="33"/>
        <v>21.906335545077848</v>
      </c>
      <c r="J72" s="65">
        <f t="shared" si="33"/>
        <v>21.906335545077848</v>
      </c>
      <c r="K72" s="65">
        <f t="shared" si="33"/>
        <v>21.906335545077848</v>
      </c>
      <c r="L72" s="65">
        <f t="shared" si="33"/>
        <v>21.906335545077848</v>
      </c>
      <c r="M72" s="226"/>
      <c r="N72" s="86">
        <f>$G72</f>
        <v>21.906335545077848</v>
      </c>
      <c r="O72" s="47">
        <f t="shared" si="34"/>
        <v>21.906335545077848</v>
      </c>
      <c r="P72" s="47">
        <f t="shared" si="34"/>
        <v>21.906335545077848</v>
      </c>
      <c r="Q72" s="47">
        <f t="shared" si="34"/>
        <v>21.906335545077848</v>
      </c>
      <c r="R72" s="47">
        <f>P72</f>
        <v>21.906335545077848</v>
      </c>
      <c r="S72" s="276"/>
      <c r="T72" s="86">
        <f>$G72</f>
        <v>21.906335545077848</v>
      </c>
      <c r="U72" s="47">
        <f t="shared" si="35"/>
        <v>21.906335545077848</v>
      </c>
      <c r="V72" s="47">
        <f t="shared" si="35"/>
        <v>21.906335545077848</v>
      </c>
      <c r="W72" s="47">
        <f t="shared" si="35"/>
        <v>21.906335545077848</v>
      </c>
      <c r="X72" s="47">
        <f>V72</f>
        <v>21.906335545077848</v>
      </c>
      <c r="Y72" s="276"/>
      <c r="Z72" s="276"/>
      <c r="AA72" s="276"/>
      <c r="AB72" s="276"/>
      <c r="AC72" s="276"/>
      <c r="AD72" s="276"/>
      <c r="AE72" s="276"/>
      <c r="AF72" s="276"/>
      <c r="AG72" s="276"/>
      <c r="AH72" s="276"/>
      <c r="AI72" s="276"/>
      <c r="AJ72" s="276"/>
      <c r="AK72" s="276"/>
      <c r="AL72" s="276"/>
      <c r="AM72" s="276"/>
      <c r="AN72" s="276"/>
      <c r="AO72" s="276"/>
      <c r="AP72" s="276"/>
      <c r="AQ72" s="276"/>
      <c r="AR72" s="276"/>
    </row>
    <row r="73" spans="1:44">
      <c r="A73" s="225" t="s">
        <v>16</v>
      </c>
      <c r="N73" s="230">
        <f>SUM(N86:N88)/N89</f>
        <v>0.52102373752652342</v>
      </c>
      <c r="AA73" s="225" t="s">
        <v>488</v>
      </c>
    </row>
    <row r="74" spans="1:44">
      <c r="A74" s="225" t="s">
        <v>16</v>
      </c>
      <c r="N74" s="5" t="s">
        <v>41</v>
      </c>
      <c r="T74" s="5" t="s">
        <v>197</v>
      </c>
      <c r="AA74" s="7" t="str">
        <f>N74</f>
        <v>Reference</v>
      </c>
      <c r="AG74" s="7" t="s">
        <v>485</v>
      </c>
    </row>
    <row r="75" spans="1:44" ht="15.75" thickBot="1">
      <c r="A75" s="225" t="s">
        <v>16</v>
      </c>
      <c r="B75" s="14" t="s">
        <v>210</v>
      </c>
      <c r="C75" s="14"/>
      <c r="D75" s="14"/>
      <c r="F75" s="225">
        <f t="shared" ref="F75:L75" si="40">F$4</f>
        <v>2012</v>
      </c>
      <c r="G75" s="225">
        <f t="shared" si="40"/>
        <v>2015</v>
      </c>
      <c r="H75" s="225">
        <f t="shared" si="40"/>
        <v>2017</v>
      </c>
      <c r="I75" s="225">
        <f t="shared" si="40"/>
        <v>2020</v>
      </c>
      <c r="J75" s="225">
        <f t="shared" si="40"/>
        <v>2030</v>
      </c>
      <c r="K75" s="225">
        <f t="shared" si="40"/>
        <v>2040</v>
      </c>
      <c r="L75" s="225">
        <f t="shared" si="40"/>
        <v>2050</v>
      </c>
      <c r="N75" s="7">
        <f t="shared" ref="N75:S75" si="41">N$4</f>
        <v>2015</v>
      </c>
      <c r="O75" s="7">
        <f t="shared" si="41"/>
        <v>2020</v>
      </c>
      <c r="P75" s="7">
        <f t="shared" si="41"/>
        <v>2030</v>
      </c>
      <c r="Q75" s="7">
        <f t="shared" si="41"/>
        <v>2040</v>
      </c>
      <c r="R75" s="7">
        <f t="shared" si="41"/>
        <v>2050</v>
      </c>
      <c r="S75" s="225">
        <f t="shared" si="41"/>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225" t="s">
        <v>16</v>
      </c>
      <c r="B76" s="226" t="str">
        <f>B92</f>
        <v>TFLCV</v>
      </c>
      <c r="C76" s="226" t="str">
        <f>C92</f>
        <v>Transport Freight - LCV</v>
      </c>
      <c r="D76" s="225" t="s">
        <v>149</v>
      </c>
      <c r="F76" s="277">
        <f t="shared" ref="F76:K76" si="42">F43</f>
        <v>17.152485013399282</v>
      </c>
      <c r="G76" s="277">
        <f t="shared" si="42"/>
        <v>17.976846368396746</v>
      </c>
      <c r="H76" s="277">
        <f t="shared" si="42"/>
        <v>18.275819732496981</v>
      </c>
      <c r="I76" s="277">
        <f t="shared" si="42"/>
        <v>17.382279232767157</v>
      </c>
      <c r="J76" s="277">
        <f t="shared" si="42"/>
        <v>20.483172910937</v>
      </c>
      <c r="K76" s="277">
        <f t="shared" si="42"/>
        <v>25.634308259593027</v>
      </c>
      <c r="L76" s="277">
        <f>L43</f>
        <v>33.147716875236625</v>
      </c>
      <c r="M76" s="8"/>
      <c r="N76" s="277">
        <f>N43</f>
        <v>17.976846368396746</v>
      </c>
      <c r="O76" s="277">
        <f>O43</f>
        <v>17.382279232767157</v>
      </c>
      <c r="P76" s="277">
        <f>P43</f>
        <v>20.483172910937</v>
      </c>
      <c r="Q76" s="277">
        <f>Q43</f>
        <v>25.634308259593027</v>
      </c>
      <c r="R76" s="277">
        <f>R43</f>
        <v>33.147716875236625</v>
      </c>
      <c r="S76" s="8"/>
      <c r="T76" s="277">
        <f>T43</f>
        <v>17.976846368396746</v>
      </c>
      <c r="U76" s="277">
        <f>U43</f>
        <v>17.382279232767157</v>
      </c>
      <c r="V76" s="277">
        <f>V43</f>
        <v>20.483172910937</v>
      </c>
      <c r="W76" s="277">
        <f>W43</f>
        <v>25.634308259593027</v>
      </c>
      <c r="X76" s="277">
        <f>X43</f>
        <v>33.147716875236625</v>
      </c>
      <c r="Y76" s="226"/>
      <c r="Z76" s="225" t="s">
        <v>628</v>
      </c>
      <c r="AA76" s="226">
        <f>SUM(N78:N85)</f>
        <v>97.636812474343259</v>
      </c>
      <c r="AB76" s="226">
        <f>SUM(O78:O85)</f>
        <v>94.407567548107011</v>
      </c>
      <c r="AC76" s="226">
        <f>SUM(P78:P85)</f>
        <v>111.24930765946486</v>
      </c>
      <c r="AD76" s="226">
        <f>SUM(Q78:Q85)</f>
        <v>139.22643032937086</v>
      </c>
      <c r="AE76" s="226">
        <f>SUM(R78:R85)</f>
        <v>180.0336583055942</v>
      </c>
      <c r="AF76" s="226"/>
      <c r="AG76" s="226">
        <f>SUM(T78:T85)</f>
        <v>97.636812474343259</v>
      </c>
      <c r="AH76" s="226">
        <f>SUM(U78:U85)</f>
        <v>89.687189170701672</v>
      </c>
      <c r="AI76" s="226">
        <f>SUM(V78:V85)</f>
        <v>100.40250016266704</v>
      </c>
      <c r="AJ76" s="226">
        <f>SUM(W78:W85)</f>
        <v>119.3692607036443</v>
      </c>
      <c r="AK76" s="226">
        <f>SUM(X78:X85)</f>
        <v>146.63853990027087</v>
      </c>
      <c r="AL76" s="226"/>
      <c r="AM76" s="226"/>
      <c r="AN76" s="226"/>
      <c r="AO76" s="226"/>
      <c r="AP76" s="226"/>
      <c r="AQ76" s="226"/>
      <c r="AR76" s="226"/>
    </row>
    <row r="77" spans="1:44">
      <c r="A77" s="225" t="s">
        <v>16</v>
      </c>
      <c r="B77" s="226" t="str">
        <f t="shared" ref="B77:C88" si="43">B93</f>
        <v>TFHCV1</v>
      </c>
      <c r="C77" s="226" t="str">
        <f t="shared" si="43"/>
        <v>Transport Freight - HCV1</v>
      </c>
      <c r="D77" s="225" t="s">
        <v>149</v>
      </c>
      <c r="F77" s="277">
        <f t="shared" ref="F77:K77" si="44">F46</f>
        <v>4.9126336080498234</v>
      </c>
      <c r="G77" s="277">
        <f t="shared" si="44"/>
        <v>5.1487384811672978</v>
      </c>
      <c r="H77" s="277">
        <f t="shared" si="44"/>
        <v>5.2343672746186938</v>
      </c>
      <c r="I77" s="277">
        <f t="shared" si="44"/>
        <v>4.9784488414763688</v>
      </c>
      <c r="J77" s="277">
        <f t="shared" si="44"/>
        <v>5.8665740598611187</v>
      </c>
      <c r="K77" s="277">
        <f t="shared" si="44"/>
        <v>7.3419078446539707</v>
      </c>
      <c r="L77" s="277">
        <f>L46</f>
        <v>9.4938189903210723</v>
      </c>
      <c r="M77" s="8"/>
      <c r="N77" s="277">
        <f>N46</f>
        <v>5.1487384811672978</v>
      </c>
      <c r="O77" s="277">
        <f>O46</f>
        <v>4.9784488414763688</v>
      </c>
      <c r="P77" s="277">
        <f>P46</f>
        <v>5.8665740598611187</v>
      </c>
      <c r="Q77" s="277">
        <f>Q46</f>
        <v>7.3419078446539707</v>
      </c>
      <c r="R77" s="277">
        <f>R46</f>
        <v>9.4938189903210723</v>
      </c>
      <c r="S77" s="8"/>
      <c r="T77" s="277">
        <f>T46</f>
        <v>5.1487384811672978</v>
      </c>
      <c r="U77" s="277">
        <f>U46</f>
        <v>4.72952639940255</v>
      </c>
      <c r="V77" s="277">
        <f>V46</f>
        <v>5.294583089024659</v>
      </c>
      <c r="W77" s="277">
        <f>W46</f>
        <v>6.2947682383101968</v>
      </c>
      <c r="X77" s="277">
        <f>X46</f>
        <v>7.7327749039852014</v>
      </c>
      <c r="Y77" s="226"/>
      <c r="Z77" s="225" t="s">
        <v>486</v>
      </c>
      <c r="AA77" s="226">
        <f>N86</f>
        <v>23.057336578097956</v>
      </c>
      <c r="AB77" s="226">
        <f>O86</f>
        <v>22.294737049596247</v>
      </c>
      <c r="AC77" s="226">
        <f>P86</f>
        <v>26.271983545742096</v>
      </c>
      <c r="AD77" s="226">
        <f>Q86</f>
        <v>32.878896630458662</v>
      </c>
      <c r="AE77" s="226">
        <f>R86</f>
        <v>42.515692081090634</v>
      </c>
      <c r="AF77" s="226"/>
      <c r="AG77" s="226">
        <f>T86</f>
        <v>23.057336578097956</v>
      </c>
      <c r="AH77" s="226">
        <f>U86</f>
        <v>27.015115427001614</v>
      </c>
      <c r="AI77" s="226">
        <f>V86</f>
        <v>37.118791042539939</v>
      </c>
      <c r="AJ77" s="226">
        <f>W86</f>
        <v>52.736066256185204</v>
      </c>
      <c r="AK77" s="226">
        <f>X86</f>
        <v>75.910810486414007</v>
      </c>
      <c r="AL77" s="226"/>
      <c r="AM77" s="226"/>
      <c r="AN77" s="226"/>
      <c r="AO77" s="226"/>
      <c r="AP77" s="226"/>
      <c r="AQ77" s="226"/>
      <c r="AR77" s="226"/>
    </row>
    <row r="78" spans="1:44">
      <c r="A78" s="225" t="s">
        <v>16</v>
      </c>
      <c r="B78" s="226" t="str">
        <f t="shared" si="43"/>
        <v>TFHCV2</v>
      </c>
      <c r="C78" s="226" t="str">
        <f t="shared" si="43"/>
        <v>Transport Freight - HCV2</v>
      </c>
      <c r="D78" s="225" t="s">
        <v>149</v>
      </c>
      <c r="F78" s="277">
        <f t="shared" ref="F78:L86" si="45">F51</f>
        <v>1.637618085804339</v>
      </c>
      <c r="G78" s="277">
        <f t="shared" si="45"/>
        <v>1.7163232450350523</v>
      </c>
      <c r="H78" s="277">
        <f t="shared" si="45"/>
        <v>1.7448674581821175</v>
      </c>
      <c r="I78" s="277">
        <f t="shared" si="45"/>
        <v>1.6595574823032224</v>
      </c>
      <c r="J78" s="277">
        <f t="shared" si="45"/>
        <v>1.9556125183846031</v>
      </c>
      <c r="K78" s="277">
        <f t="shared" si="45"/>
        <v>2.4474125346968392</v>
      </c>
      <c r="L78" s="277">
        <f t="shared" si="45"/>
        <v>3.1647484673855613</v>
      </c>
      <c r="M78" s="8"/>
      <c r="N78" s="277">
        <f>N51</f>
        <v>1.7163232450350523</v>
      </c>
      <c r="O78" s="277">
        <f>O51</f>
        <v>1.6595574823032224</v>
      </c>
      <c r="P78" s="277">
        <f>P51</f>
        <v>1.9556125183846031</v>
      </c>
      <c r="Q78" s="277">
        <f>Q51</f>
        <v>2.4474125346968392</v>
      </c>
      <c r="R78" s="277">
        <f>R51</f>
        <v>3.1647484673855613</v>
      </c>
      <c r="S78" s="8"/>
      <c r="T78" s="277">
        <f>T51</f>
        <v>1.7163232450350523</v>
      </c>
      <c r="U78" s="277">
        <f>U51</f>
        <v>1.576579608188061</v>
      </c>
      <c r="V78" s="277">
        <f>V51</f>
        <v>1.764940297842104</v>
      </c>
      <c r="W78" s="277">
        <f>W51</f>
        <v>2.098350321935702</v>
      </c>
      <c r="X78" s="277">
        <f>X51</f>
        <v>2.5777074063634604</v>
      </c>
      <c r="Y78" s="226"/>
      <c r="Z78" s="226" t="s">
        <v>487</v>
      </c>
      <c r="AA78" s="226">
        <f>SUM(AA76:AA77)</f>
        <v>120.69414905244122</v>
      </c>
      <c r="AB78" s="226">
        <f>SUM(AB76:AB77)</f>
        <v>116.70230459770326</v>
      </c>
      <c r="AC78" s="226">
        <f>SUM(AC76:AC77)</f>
        <v>137.52129120520695</v>
      </c>
      <c r="AD78" s="226">
        <f>SUM(AD76:AD77)</f>
        <v>172.10532695982951</v>
      </c>
      <c r="AE78" s="226">
        <f>SUM(AE76:AE77)</f>
        <v>222.54935038668484</v>
      </c>
      <c r="AF78" s="226"/>
      <c r="AG78" s="226">
        <f>SUM(AG76:AG77)</f>
        <v>120.69414905244122</v>
      </c>
      <c r="AH78" s="226">
        <f>SUM(AH76:AH77)</f>
        <v>116.70230459770329</v>
      </c>
      <c r="AI78" s="226">
        <f>SUM(AI76:AI77)</f>
        <v>137.52129120520698</v>
      </c>
      <c r="AJ78" s="226">
        <f>SUM(AJ76:AJ77)</f>
        <v>172.10532695982951</v>
      </c>
      <c r="AK78" s="226">
        <f>SUM(AK76:AK77)</f>
        <v>222.54935038668486</v>
      </c>
      <c r="AL78" s="226"/>
      <c r="AM78" s="226"/>
      <c r="AN78" s="226"/>
      <c r="AO78" s="226"/>
      <c r="AP78" s="226"/>
      <c r="AQ78" s="226"/>
      <c r="AR78" s="226"/>
    </row>
    <row r="79" spans="1:44">
      <c r="A79" s="225" t="s">
        <v>16</v>
      </c>
      <c r="B79" s="226" t="str">
        <f t="shared" si="43"/>
        <v>TFHCV3</v>
      </c>
      <c r="C79" s="226" t="str">
        <f t="shared" si="43"/>
        <v>Transport Freight - HCV3</v>
      </c>
      <c r="D79" s="225" t="s">
        <v>149</v>
      </c>
      <c r="F79" s="277">
        <f t="shared" si="45"/>
        <v>10.467275163694032</v>
      </c>
      <c r="G79" s="277">
        <f t="shared" si="45"/>
        <v>10.970340295675397</v>
      </c>
      <c r="H79" s="277">
        <f t="shared" si="45"/>
        <v>11.152788288850017</v>
      </c>
      <c r="I79" s="277">
        <f t="shared" si="45"/>
        <v>10.607506700014909</v>
      </c>
      <c r="J79" s="277">
        <f t="shared" si="45"/>
        <v>12.499821857696572</v>
      </c>
      <c r="K79" s="277">
        <f t="shared" si="45"/>
        <v>15.643293550439248</v>
      </c>
      <c r="L79" s="277">
        <f t="shared" si="45"/>
        <v>20.22833853580287</v>
      </c>
      <c r="M79" s="8"/>
      <c r="N79" s="277">
        <f t="shared" ref="N79:R85" si="46">N52</f>
        <v>10.970340295675397</v>
      </c>
      <c r="O79" s="277">
        <f t="shared" si="46"/>
        <v>10.607506700014909</v>
      </c>
      <c r="P79" s="277">
        <f t="shared" si="46"/>
        <v>12.499821857696572</v>
      </c>
      <c r="Q79" s="277">
        <f t="shared" si="46"/>
        <v>15.643293550439248</v>
      </c>
      <c r="R79" s="277">
        <f t="shared" si="46"/>
        <v>20.22833853580287</v>
      </c>
      <c r="S79" s="8"/>
      <c r="T79" s="277">
        <f t="shared" ref="T79:X85" si="47">T52</f>
        <v>10.970340295675397</v>
      </c>
      <c r="U79" s="277">
        <f t="shared" si="47"/>
        <v>10.077131365014164</v>
      </c>
      <c r="V79" s="277">
        <f t="shared" si="47"/>
        <v>11.281089226571156</v>
      </c>
      <c r="W79" s="277">
        <f t="shared" si="47"/>
        <v>13.41216880780785</v>
      </c>
      <c r="X79" s="277">
        <f t="shared" si="47"/>
        <v>16.476108164527286</v>
      </c>
      <c r="Y79" s="226"/>
      <c r="Z79" s="226"/>
      <c r="AA79" s="226"/>
      <c r="AB79" s="226"/>
      <c r="AC79" s="226"/>
      <c r="AD79" s="226"/>
      <c r="AE79" s="226"/>
      <c r="AF79" s="226"/>
      <c r="AG79" s="226"/>
      <c r="AH79" s="226"/>
      <c r="AI79" s="226"/>
      <c r="AJ79" s="226"/>
      <c r="AK79" s="226"/>
      <c r="AL79" s="226"/>
      <c r="AM79" s="226"/>
      <c r="AN79" s="226"/>
      <c r="AO79" s="226"/>
      <c r="AP79" s="226"/>
      <c r="AQ79" s="226"/>
      <c r="AR79" s="226"/>
    </row>
    <row r="80" spans="1:44">
      <c r="A80" s="225" t="s">
        <v>16</v>
      </c>
      <c r="B80" s="226" t="str">
        <f t="shared" si="43"/>
        <v>TFHCV4</v>
      </c>
      <c r="C80" s="226" t="str">
        <f t="shared" si="43"/>
        <v>Transport Freight - HCV4</v>
      </c>
      <c r="D80" s="225" t="s">
        <v>149</v>
      </c>
      <c r="F80" s="277">
        <f t="shared" si="45"/>
        <v>3.423667084889694</v>
      </c>
      <c r="G80" s="277">
        <f t="shared" si="45"/>
        <v>3.5882111048935075</v>
      </c>
      <c r="H80" s="277">
        <f t="shared" si="45"/>
        <v>3.6478867300364013</v>
      </c>
      <c r="I80" s="277">
        <f t="shared" si="45"/>
        <v>3.4695344274078845</v>
      </c>
      <c r="J80" s="277">
        <f t="shared" si="45"/>
        <v>4.0884784236509484</v>
      </c>
      <c r="K80" s="277">
        <f t="shared" si="45"/>
        <v>5.1166543718723645</v>
      </c>
      <c r="L80" s="277">
        <f t="shared" si="45"/>
        <v>6.6163443440607024</v>
      </c>
      <c r="M80" s="8"/>
      <c r="N80" s="277">
        <f t="shared" si="46"/>
        <v>3.5882111048935075</v>
      </c>
      <c r="O80" s="277">
        <f t="shared" si="46"/>
        <v>3.4695344274078845</v>
      </c>
      <c r="P80" s="277">
        <f t="shared" si="46"/>
        <v>4.0884784236509484</v>
      </c>
      <c r="Q80" s="277">
        <f t="shared" si="46"/>
        <v>5.1166543718723645</v>
      </c>
      <c r="R80" s="277">
        <f t="shared" si="46"/>
        <v>6.6163443440607024</v>
      </c>
      <c r="S80" s="8"/>
      <c r="T80" s="277">
        <f t="shared" si="47"/>
        <v>3.5882111048935075</v>
      </c>
      <c r="U80" s="277">
        <f t="shared" si="47"/>
        <v>3.29605770603749</v>
      </c>
      <c r="V80" s="277">
        <f t="shared" si="47"/>
        <v>3.6898517773449808</v>
      </c>
      <c r="W80" s="277">
        <f t="shared" si="47"/>
        <v>4.3868915420840686</v>
      </c>
      <c r="X80" s="277">
        <f t="shared" si="47"/>
        <v>5.3890538203895915</v>
      </c>
      <c r="Y80" s="226"/>
      <c r="Z80" s="226"/>
      <c r="AA80" s="230">
        <f>AA77/AA78</f>
        <v>0.19103938972285739</v>
      </c>
      <c r="AB80" s="230">
        <f t="shared" ref="AB80:AK80" si="48">AB77/AB78</f>
        <v>0.19103938972285742</v>
      </c>
      <c r="AC80" s="230">
        <f t="shared" si="48"/>
        <v>0.19103938972285742</v>
      </c>
      <c r="AD80" s="230">
        <f t="shared" si="48"/>
        <v>0.19103938972285736</v>
      </c>
      <c r="AE80" s="230">
        <f t="shared" si="48"/>
        <v>0.19103938972285742</v>
      </c>
      <c r="AF80" s="230"/>
      <c r="AG80" s="230">
        <f t="shared" si="48"/>
        <v>0.19103938972285739</v>
      </c>
      <c r="AH80" s="230">
        <f t="shared" si="48"/>
        <v>0.23148742023671462</v>
      </c>
      <c r="AI80" s="230">
        <f t="shared" si="48"/>
        <v>0.26991304922487891</v>
      </c>
      <c r="AJ80" s="230">
        <f t="shared" si="48"/>
        <v>0.306417396763635</v>
      </c>
      <c r="AK80" s="230">
        <f t="shared" si="48"/>
        <v>0.34109652692545334</v>
      </c>
      <c r="AL80" s="226"/>
      <c r="AM80" s="226"/>
      <c r="AN80" s="226"/>
      <c r="AO80" s="226"/>
      <c r="AP80" s="226"/>
      <c r="AQ80" s="226"/>
      <c r="AR80" s="226"/>
    </row>
    <row r="81" spans="1:44">
      <c r="A81" s="225" t="s">
        <v>16</v>
      </c>
      <c r="B81" s="226" t="str">
        <f t="shared" si="43"/>
        <v>TFHCV5</v>
      </c>
      <c r="C81" s="226" t="str">
        <f t="shared" si="43"/>
        <v>Transport Freight - HCV5</v>
      </c>
      <c r="D81" s="225" t="s">
        <v>149</v>
      </c>
      <c r="F81" s="277">
        <f t="shared" si="45"/>
        <v>2.0433999272590588</v>
      </c>
      <c r="G81" s="277">
        <f t="shared" si="45"/>
        <v>2.1416072675669553</v>
      </c>
      <c r="H81" s="277">
        <f t="shared" si="45"/>
        <v>2.1772243895161991</v>
      </c>
      <c r="I81" s="277">
        <f t="shared" si="45"/>
        <v>2.070775639336583</v>
      </c>
      <c r="J81" s="277">
        <f t="shared" si="45"/>
        <v>2.4401895121054822</v>
      </c>
      <c r="K81" s="277">
        <f t="shared" si="45"/>
        <v>3.0538515901380623</v>
      </c>
      <c r="L81" s="277">
        <f t="shared" si="45"/>
        <v>3.9489346411758715</v>
      </c>
      <c r="M81" s="8"/>
      <c r="N81" s="277">
        <f t="shared" si="46"/>
        <v>2.1416072675669553</v>
      </c>
      <c r="O81" s="277">
        <f t="shared" si="46"/>
        <v>2.070775639336583</v>
      </c>
      <c r="P81" s="277">
        <f t="shared" si="46"/>
        <v>2.4401895121054822</v>
      </c>
      <c r="Q81" s="277">
        <f t="shared" si="46"/>
        <v>3.0538515901380623</v>
      </c>
      <c r="R81" s="277">
        <f t="shared" si="46"/>
        <v>3.9489346411758715</v>
      </c>
      <c r="S81" s="8"/>
      <c r="T81" s="277">
        <f t="shared" si="47"/>
        <v>2.1416072675669553</v>
      </c>
      <c r="U81" s="277">
        <f t="shared" si="47"/>
        <v>1.9672368573697538</v>
      </c>
      <c r="V81" s="277">
        <f t="shared" si="47"/>
        <v>2.2022710346751975</v>
      </c>
      <c r="W81" s="277">
        <f t="shared" si="47"/>
        <v>2.6182960070946208</v>
      </c>
      <c r="X81" s="277">
        <f t="shared" si="47"/>
        <v>3.2164319460792541</v>
      </c>
      <c r="Y81" s="226"/>
      <c r="Z81" s="226"/>
      <c r="AA81" s="226"/>
      <c r="AB81" s="226"/>
      <c r="AC81" s="226"/>
      <c r="AD81" s="226"/>
      <c r="AE81" s="226"/>
      <c r="AF81" s="226"/>
      <c r="AG81" s="226"/>
      <c r="AH81" s="226"/>
      <c r="AI81" s="226"/>
      <c r="AJ81" s="226"/>
      <c r="AK81" s="226"/>
      <c r="AL81" s="226"/>
      <c r="AM81" s="226"/>
      <c r="AN81" s="226"/>
      <c r="AO81" s="226"/>
      <c r="AP81" s="226"/>
      <c r="AQ81" s="226"/>
      <c r="AR81" s="226"/>
    </row>
    <row r="82" spans="1:44">
      <c r="A82" s="225" t="s">
        <v>16</v>
      </c>
      <c r="B82" s="226" t="str">
        <f t="shared" si="43"/>
        <v>TFHCV6</v>
      </c>
      <c r="C82" s="226" t="str">
        <f t="shared" si="43"/>
        <v>Transport Freight - HCV6</v>
      </c>
      <c r="D82" s="225" t="s">
        <v>149</v>
      </c>
      <c r="F82" s="277">
        <f t="shared" si="45"/>
        <v>51.883602656707552</v>
      </c>
      <c r="G82" s="277">
        <f t="shared" si="45"/>
        <v>54.377167697272895</v>
      </c>
      <c r="H82" s="277">
        <f t="shared" si="45"/>
        <v>55.28151568042508</v>
      </c>
      <c r="I82" s="277">
        <f t="shared" si="45"/>
        <v>52.578694473501294</v>
      </c>
      <c r="J82" s="277">
        <f t="shared" si="45"/>
        <v>61.958416149583726</v>
      </c>
      <c r="K82" s="277">
        <f t="shared" si="45"/>
        <v>77.539800389349026</v>
      </c>
      <c r="L82" s="277">
        <f t="shared" si="45"/>
        <v>100.2666943004652</v>
      </c>
      <c r="M82" s="8"/>
      <c r="N82" s="277">
        <f t="shared" si="46"/>
        <v>54.377167697272895</v>
      </c>
      <c r="O82" s="277">
        <f t="shared" si="46"/>
        <v>52.578694473501294</v>
      </c>
      <c r="P82" s="277">
        <f t="shared" si="46"/>
        <v>61.958416149583726</v>
      </c>
      <c r="Q82" s="277">
        <f t="shared" si="46"/>
        <v>77.539800389349026</v>
      </c>
      <c r="R82" s="277">
        <f t="shared" si="46"/>
        <v>100.2666943004652</v>
      </c>
      <c r="S82" s="8"/>
      <c r="T82" s="277">
        <f t="shared" si="47"/>
        <v>54.377167697272895</v>
      </c>
      <c r="U82" s="277">
        <f t="shared" si="47"/>
        <v>49.949759749826221</v>
      </c>
      <c r="V82" s="277">
        <f t="shared" si="47"/>
        <v>55.917470574999307</v>
      </c>
      <c r="W82" s="277">
        <f t="shared" si="47"/>
        <v>66.480686358818105</v>
      </c>
      <c r="X82" s="277">
        <f t="shared" si="47"/>
        <v>81.667849174568275</v>
      </c>
      <c r="Y82" s="226"/>
      <c r="Z82" s="226"/>
      <c r="AA82" s="226"/>
      <c r="AB82" s="226"/>
      <c r="AC82" s="226"/>
      <c r="AD82" s="226"/>
      <c r="AE82" s="226"/>
      <c r="AF82" s="226"/>
      <c r="AG82" s="226"/>
      <c r="AH82" s="226"/>
      <c r="AI82" s="226"/>
      <c r="AJ82" s="226"/>
      <c r="AK82" s="226"/>
      <c r="AL82" s="226"/>
      <c r="AM82" s="226"/>
      <c r="AN82" s="226"/>
      <c r="AO82" s="226"/>
      <c r="AP82" s="226"/>
      <c r="AQ82" s="226"/>
      <c r="AR82" s="226"/>
    </row>
    <row r="83" spans="1:44">
      <c r="A83" s="225" t="s">
        <v>16</v>
      </c>
      <c r="B83" s="226" t="str">
        <f t="shared" si="43"/>
        <v>TFHCV7</v>
      </c>
      <c r="C83" s="226" t="str">
        <f t="shared" si="43"/>
        <v>Transport Freight - HCV7</v>
      </c>
      <c r="D83" s="225" t="s">
        <v>149</v>
      </c>
      <c r="F83" s="277">
        <f t="shared" si="45"/>
        <v>21.803352870590057</v>
      </c>
      <c r="G83" s="277">
        <f t="shared" si="45"/>
        <v>22.851238439465153</v>
      </c>
      <c r="H83" s="277">
        <f t="shared" si="45"/>
        <v>23.231277935275386</v>
      </c>
      <c r="I83" s="277">
        <f t="shared" si="45"/>
        <v>22.095455411334772</v>
      </c>
      <c r="J83" s="277">
        <f t="shared" si="45"/>
        <v>26.037151266279583</v>
      </c>
      <c r="K83" s="277">
        <f t="shared" si="45"/>
        <v>32.585008419524769</v>
      </c>
      <c r="L83" s="277">
        <f t="shared" si="45"/>
        <v>42.135665317335032</v>
      </c>
      <c r="M83" s="8"/>
      <c r="N83" s="277">
        <f t="shared" si="46"/>
        <v>22.851238439465153</v>
      </c>
      <c r="O83" s="277">
        <f t="shared" si="46"/>
        <v>22.095455411334772</v>
      </c>
      <c r="P83" s="277">
        <f t="shared" si="46"/>
        <v>26.037151266279583</v>
      </c>
      <c r="Q83" s="277">
        <f t="shared" si="46"/>
        <v>32.585008419524769</v>
      </c>
      <c r="R83" s="277">
        <f t="shared" si="46"/>
        <v>42.135665317335032</v>
      </c>
      <c r="S83" s="8"/>
      <c r="T83" s="277">
        <f t="shared" si="47"/>
        <v>22.851238439465153</v>
      </c>
      <c r="U83" s="277">
        <f t="shared" si="47"/>
        <v>20.990682640768032</v>
      </c>
      <c r="V83" s="277">
        <f t="shared" si="47"/>
        <v>23.498529017817322</v>
      </c>
      <c r="W83" s="277">
        <f t="shared" si="47"/>
        <v>27.937571593690038</v>
      </c>
      <c r="X83" s="277">
        <f t="shared" si="47"/>
        <v>34.319762748877601</v>
      </c>
      <c r="Y83" s="226"/>
      <c r="Z83" s="226"/>
      <c r="AA83" s="226"/>
      <c r="AB83" s="226"/>
      <c r="AC83" s="226"/>
      <c r="AD83" s="226"/>
      <c r="AE83" s="226"/>
      <c r="AF83" s="226"/>
      <c r="AG83" s="226"/>
      <c r="AH83" s="226"/>
      <c r="AI83" s="226"/>
      <c r="AJ83" s="226"/>
      <c r="AK83" s="226"/>
      <c r="AL83" s="226"/>
      <c r="AM83" s="226"/>
      <c r="AN83" s="226"/>
      <c r="AO83" s="226"/>
      <c r="AP83" s="226"/>
      <c r="AQ83" s="226"/>
      <c r="AR83" s="226"/>
    </row>
    <row r="84" spans="1:44">
      <c r="A84" s="225" t="s">
        <v>16</v>
      </c>
      <c r="B84" s="226" t="str">
        <f>B100</f>
        <v>TFHCV8</v>
      </c>
      <c r="C84" s="226" t="str">
        <f>C100</f>
        <v>Transport Freight - HCV8</v>
      </c>
      <c r="D84" s="225" t="s">
        <v>149</v>
      </c>
      <c r="F84" s="277">
        <f t="shared" si="45"/>
        <v>1.0249985708336284</v>
      </c>
      <c r="G84" s="277">
        <f t="shared" si="45"/>
        <v>1.0742607745354706</v>
      </c>
      <c r="H84" s="277">
        <f t="shared" si="45"/>
        <v>1.0921268313010455</v>
      </c>
      <c r="I84" s="277">
        <f t="shared" si="45"/>
        <v>1.0387306187703502</v>
      </c>
      <c r="J84" s="277">
        <f t="shared" si="45"/>
        <v>1.2240338903341026</v>
      </c>
      <c r="K84" s="277">
        <f t="shared" si="45"/>
        <v>1.53185554803667</v>
      </c>
      <c r="L84" s="277">
        <f t="shared" si="45"/>
        <v>1.9808419827782056</v>
      </c>
      <c r="M84" s="8"/>
      <c r="N84" s="277">
        <f t="shared" si="46"/>
        <v>1.0742607745354706</v>
      </c>
      <c r="O84" s="277">
        <f t="shared" si="46"/>
        <v>1.0387306187703502</v>
      </c>
      <c r="P84" s="277">
        <f t="shared" si="46"/>
        <v>1.2240338903341026</v>
      </c>
      <c r="Q84" s="277">
        <f t="shared" si="46"/>
        <v>1.53185554803667</v>
      </c>
      <c r="R84" s="277">
        <f t="shared" si="46"/>
        <v>1.9808419827782056</v>
      </c>
      <c r="S84" s="8"/>
      <c r="T84" s="277">
        <f t="shared" si="47"/>
        <v>1.0742607745354706</v>
      </c>
      <c r="U84" s="277">
        <f t="shared" si="47"/>
        <v>0.98679408783183264</v>
      </c>
      <c r="V84" s="277">
        <f t="shared" si="47"/>
        <v>1.1046905860265277</v>
      </c>
      <c r="W84" s="277">
        <f t="shared" si="47"/>
        <v>1.31337465049794</v>
      </c>
      <c r="X84" s="277">
        <f t="shared" si="47"/>
        <v>1.6134081752352407</v>
      </c>
      <c r="Y84" s="226"/>
      <c r="Z84" s="226"/>
      <c r="AA84" s="226"/>
      <c r="AB84" s="226"/>
      <c r="AC84" s="226"/>
      <c r="AD84" s="226"/>
      <c r="AE84" s="226"/>
      <c r="AF84" s="226"/>
      <c r="AG84" s="226"/>
      <c r="AH84" s="226"/>
      <c r="AI84" s="226"/>
      <c r="AJ84" s="226"/>
      <c r="AK84" s="226"/>
      <c r="AL84" s="226"/>
      <c r="AM84" s="226"/>
      <c r="AN84" s="226"/>
      <c r="AO84" s="226"/>
      <c r="AP84" s="226"/>
      <c r="AQ84" s="226"/>
      <c r="AR84" s="226"/>
    </row>
    <row r="85" spans="1:44">
      <c r="A85" s="225" t="s">
        <v>16</v>
      </c>
      <c r="B85" s="226" t="str">
        <f t="shared" si="43"/>
        <v>TFHCV9</v>
      </c>
      <c r="C85" s="226" t="str">
        <f t="shared" si="43"/>
        <v>Transport Freight - HCV9</v>
      </c>
      <c r="D85" s="225" t="s">
        <v>149</v>
      </c>
      <c r="F85" s="277">
        <f t="shared" si="45"/>
        <v>0.87558249537595634</v>
      </c>
      <c r="G85" s="277">
        <f t="shared" si="45"/>
        <v>0.91766364989883309</v>
      </c>
      <c r="H85" s="277">
        <f t="shared" si="45"/>
        <v>0.93292533612012019</v>
      </c>
      <c r="I85" s="277">
        <f t="shared" si="45"/>
        <v>0.88731279543801245</v>
      </c>
      <c r="J85" s="277">
        <f t="shared" si="45"/>
        <v>1.0456040414298606</v>
      </c>
      <c r="K85" s="277">
        <f t="shared" si="45"/>
        <v>1.3085539253138694</v>
      </c>
      <c r="L85" s="277">
        <f t="shared" si="45"/>
        <v>1.6920907165907786</v>
      </c>
      <c r="M85" s="8"/>
      <c r="N85" s="277">
        <f t="shared" si="46"/>
        <v>0.91766364989883309</v>
      </c>
      <c r="O85" s="277">
        <f t="shared" si="46"/>
        <v>0.88731279543801245</v>
      </c>
      <c r="P85" s="277">
        <f t="shared" si="46"/>
        <v>1.0456040414298606</v>
      </c>
      <c r="Q85" s="277">
        <f t="shared" si="46"/>
        <v>1.3085539253138694</v>
      </c>
      <c r="R85" s="277">
        <f t="shared" si="46"/>
        <v>1.6920907165907786</v>
      </c>
      <c r="S85" s="8"/>
      <c r="T85" s="277">
        <f t="shared" si="47"/>
        <v>0.91766364989883309</v>
      </c>
      <c r="U85" s="277">
        <f t="shared" si="47"/>
        <v>0.84294715566611178</v>
      </c>
      <c r="V85" s="277">
        <f t="shared" si="47"/>
        <v>0.94365764739044922</v>
      </c>
      <c r="W85" s="277">
        <f t="shared" si="47"/>
        <v>1.1219214217159788</v>
      </c>
      <c r="X85" s="277">
        <f t="shared" si="47"/>
        <v>1.3782184642301676</v>
      </c>
      <c r="Y85" s="226"/>
      <c r="Z85" s="226"/>
      <c r="AA85" s="226"/>
      <c r="AB85" s="226"/>
      <c r="AC85" s="226"/>
      <c r="AD85" s="226"/>
      <c r="AE85" s="226"/>
      <c r="AF85" s="226"/>
      <c r="AG85" s="226"/>
      <c r="AH85" s="226"/>
      <c r="AI85" s="226"/>
      <c r="AJ85" s="226"/>
      <c r="AK85" s="226"/>
      <c r="AL85" s="226"/>
      <c r="AM85" s="226"/>
      <c r="AN85" s="226"/>
      <c r="AO85" s="226"/>
      <c r="AP85" s="226"/>
      <c r="AQ85" s="226"/>
      <c r="AR85" s="226"/>
    </row>
    <row r="86" spans="1:44">
      <c r="A86" s="225" t="s">
        <v>16</v>
      </c>
      <c r="B86" s="226" t="str">
        <f t="shared" si="43"/>
        <v>TFRCO</v>
      </c>
      <c r="C86" s="226" t="str">
        <f t="shared" si="43"/>
        <v>Transport Freight - Rail Corridor</v>
      </c>
      <c r="D86" s="225" t="s">
        <v>149</v>
      </c>
      <c r="F86" s="277">
        <f t="shared" si="45"/>
        <v>22</v>
      </c>
      <c r="G86" s="277">
        <f t="shared" si="45"/>
        <v>23.057336578097956</v>
      </c>
      <c r="H86" s="277">
        <f t="shared" si="45"/>
        <v>23.44080369700621</v>
      </c>
      <c r="I86" s="277">
        <f t="shared" si="45"/>
        <v>22.294737049596247</v>
      </c>
      <c r="J86" s="277">
        <f t="shared" si="45"/>
        <v>26.271983545742096</v>
      </c>
      <c r="K86" s="277">
        <f t="shared" si="45"/>
        <v>32.878896630458662</v>
      </c>
      <c r="L86" s="277">
        <f t="shared" si="45"/>
        <v>42.515692081090634</v>
      </c>
      <c r="M86" s="8"/>
      <c r="N86" s="277">
        <f>N59</f>
        <v>23.057336578097956</v>
      </c>
      <c r="O86" s="277">
        <f>O59</f>
        <v>22.294737049596247</v>
      </c>
      <c r="P86" s="277">
        <f>P59</f>
        <v>26.271983545742096</v>
      </c>
      <c r="Q86" s="277">
        <f>Q59</f>
        <v>32.878896630458662</v>
      </c>
      <c r="R86" s="277">
        <f>R59</f>
        <v>42.515692081090634</v>
      </c>
      <c r="S86" s="8"/>
      <c r="T86" s="277">
        <f>T59</f>
        <v>23.057336578097956</v>
      </c>
      <c r="U86" s="277">
        <f>U59</f>
        <v>27.015115427001614</v>
      </c>
      <c r="V86" s="277">
        <f>V59</f>
        <v>37.118791042539939</v>
      </c>
      <c r="W86" s="277">
        <f>W59</f>
        <v>52.736066256185204</v>
      </c>
      <c r="X86" s="277">
        <f>X59</f>
        <v>75.910810486414007</v>
      </c>
      <c r="Y86" s="226"/>
      <c r="Z86" s="226"/>
      <c r="AA86" s="226"/>
      <c r="AB86" s="226"/>
      <c r="AC86" s="226"/>
      <c r="AD86" s="226"/>
      <c r="AE86" s="226"/>
      <c r="AF86" s="226"/>
      <c r="AG86" s="226"/>
      <c r="AH86" s="226"/>
      <c r="AI86" s="226"/>
      <c r="AJ86" s="226"/>
      <c r="AK86" s="226"/>
      <c r="AL86" s="226"/>
      <c r="AM86" s="226"/>
      <c r="AN86" s="226"/>
      <c r="AO86" s="226"/>
      <c r="AP86" s="226"/>
      <c r="AQ86" s="226"/>
      <c r="AR86" s="226"/>
    </row>
    <row r="87" spans="1:44">
      <c r="A87" s="225" t="s">
        <v>16</v>
      </c>
      <c r="B87" s="226" t="str">
        <f t="shared" si="43"/>
        <v>TFROT</v>
      </c>
      <c r="C87" s="226" t="str">
        <f t="shared" si="43"/>
        <v>Transport Freight - Rail Other</v>
      </c>
      <c r="D87" s="225" t="s">
        <v>149</v>
      </c>
      <c r="F87" s="277">
        <f t="shared" ref="F87:L87" si="49">F47</f>
        <v>25.099999999999998</v>
      </c>
      <c r="G87" s="277">
        <f t="shared" si="49"/>
        <v>26.306324914102674</v>
      </c>
      <c r="H87" s="277">
        <f t="shared" si="49"/>
        <v>26.743826036129818</v>
      </c>
      <c r="I87" s="277">
        <f t="shared" si="49"/>
        <v>25.436268179312087</v>
      </c>
      <c r="J87" s="277">
        <f t="shared" si="49"/>
        <v>29.973944863551218</v>
      </c>
      <c r="K87" s="277">
        <f t="shared" si="49"/>
        <v>37.511832064750578</v>
      </c>
      <c r="L87" s="277">
        <f t="shared" si="49"/>
        <v>48.506539601607962</v>
      </c>
      <c r="M87" s="8"/>
      <c r="N87" s="277">
        <f>N47</f>
        <v>26.306324914102674</v>
      </c>
      <c r="O87" s="277">
        <f>O47</f>
        <v>25.436268179312087</v>
      </c>
      <c r="P87" s="277">
        <f>P47</f>
        <v>29.973944863551218</v>
      </c>
      <c r="Q87" s="277">
        <f>Q47</f>
        <v>37.511832064750578</v>
      </c>
      <c r="R87" s="277">
        <f>R47</f>
        <v>48.506539601607962</v>
      </c>
      <c r="S87" s="8"/>
      <c r="T87" s="277">
        <f>T47</f>
        <v>26.306324914102674</v>
      </c>
      <c r="U87" s="277">
        <f>U47</f>
        <v>25.685190621385907</v>
      </c>
      <c r="V87" s="277">
        <f>V47</f>
        <v>30.545935834387674</v>
      </c>
      <c r="W87" s="277">
        <f>W47</f>
        <v>38.558971671094348</v>
      </c>
      <c r="X87" s="277">
        <f>X47</f>
        <v>50.267583687943834</v>
      </c>
      <c r="Y87" s="226"/>
      <c r="Z87" s="226"/>
      <c r="AA87" s="226"/>
      <c r="AB87" s="226"/>
      <c r="AC87" s="226"/>
      <c r="AD87" s="226"/>
      <c r="AE87" s="226"/>
      <c r="AF87" s="226"/>
      <c r="AG87" s="226"/>
      <c r="AH87" s="226"/>
      <c r="AI87" s="226"/>
      <c r="AJ87" s="226"/>
      <c r="AK87" s="226"/>
      <c r="AL87" s="226"/>
      <c r="AM87" s="226"/>
      <c r="AN87" s="226"/>
      <c r="AO87" s="226"/>
      <c r="AP87" s="226"/>
      <c r="AQ87" s="226"/>
      <c r="AR87" s="226"/>
    </row>
    <row r="88" spans="1:44">
      <c r="A88" s="225" t="s">
        <v>16</v>
      </c>
      <c r="B88" s="226" t="str">
        <f t="shared" si="43"/>
        <v>TFREX</v>
      </c>
      <c r="C88" s="226" t="str">
        <f t="shared" si="43"/>
        <v>Transport Freight - Rail Export (bulk mining)</v>
      </c>
      <c r="D88" s="225" t="s">
        <v>149</v>
      </c>
      <c r="F88" s="277">
        <f t="shared" ref="F88:J88" si="50">F104</f>
        <v>82</v>
      </c>
      <c r="G88" s="277">
        <f t="shared" si="50"/>
        <v>82</v>
      </c>
      <c r="H88" s="277">
        <f t="shared" si="50"/>
        <v>82</v>
      </c>
      <c r="I88" s="277">
        <f t="shared" si="50"/>
        <v>75.296230147600639</v>
      </c>
      <c r="J88" s="277">
        <f t="shared" si="50"/>
        <v>88.040877070249081</v>
      </c>
      <c r="K88" s="277">
        <f>K104</f>
        <v>106.52661741121335</v>
      </c>
      <c r="L88" s="277">
        <f>L104</f>
        <v>129.58709683179265</v>
      </c>
      <c r="M88" s="8"/>
      <c r="N88" s="277">
        <f>F104</f>
        <v>82</v>
      </c>
      <c r="O88" s="277">
        <f>I104</f>
        <v>75.296230147600639</v>
      </c>
      <c r="P88" s="277">
        <f>J104</f>
        <v>88.040877070249081</v>
      </c>
      <c r="Q88" s="277">
        <f>K104</f>
        <v>106.52661741121335</v>
      </c>
      <c r="R88" s="277">
        <f>L104</f>
        <v>129.58709683179265</v>
      </c>
      <c r="S88" s="8"/>
      <c r="T88" s="277">
        <f t="shared" ref="T88:W88" si="51">N88</f>
        <v>82</v>
      </c>
      <c r="U88" s="277">
        <f t="shared" si="51"/>
        <v>75.296230147600639</v>
      </c>
      <c r="V88" s="277">
        <f t="shared" si="51"/>
        <v>88.040877070249081</v>
      </c>
      <c r="W88" s="277">
        <f t="shared" si="51"/>
        <v>106.52661741121335</v>
      </c>
      <c r="X88" s="277">
        <f>R88</f>
        <v>129.58709683179265</v>
      </c>
      <c r="Y88" s="226"/>
      <c r="Z88" s="226"/>
      <c r="AA88" s="226"/>
      <c r="AB88" s="226"/>
      <c r="AC88" s="226"/>
      <c r="AD88" s="226"/>
      <c r="AE88" s="226"/>
      <c r="AF88" s="226"/>
      <c r="AG88" s="226"/>
      <c r="AH88" s="226"/>
      <c r="AI88" s="226"/>
      <c r="AJ88" s="226"/>
      <c r="AK88" s="226"/>
      <c r="AL88" s="226"/>
      <c r="AM88" s="226"/>
      <c r="AN88" s="226"/>
      <c r="AO88" s="226"/>
      <c r="AP88" s="226"/>
      <c r="AQ88" s="226"/>
      <c r="AR88" s="226"/>
    </row>
    <row r="89" spans="1:44">
      <c r="A89" s="225" t="s">
        <v>16</v>
      </c>
      <c r="C89" s="5" t="s">
        <v>211</v>
      </c>
      <c r="F89" s="87">
        <f t="shared" ref="F89:L89" si="52">SUM(F76:F88)</f>
        <v>244.32461547660341</v>
      </c>
      <c r="G89" s="87">
        <f>SUM(G76:G88)</f>
        <v>252.12605881610793</v>
      </c>
      <c r="H89" s="87">
        <f>SUM(H76:H88)</f>
        <v>254.95542938995806</v>
      </c>
      <c r="I89" s="87">
        <f>SUM(I76:I88)</f>
        <v>239.79553099885953</v>
      </c>
      <c r="J89" s="87">
        <f t="shared" si="52"/>
        <v>281.88586010980544</v>
      </c>
      <c r="K89" s="87">
        <f t="shared" si="52"/>
        <v>349.11999254004041</v>
      </c>
      <c r="L89" s="87">
        <f t="shared" si="52"/>
        <v>443.2845226856432</v>
      </c>
      <c r="M89" s="87"/>
      <c r="N89" s="87">
        <f>SUM(N76:N88)</f>
        <v>252.12605881610793</v>
      </c>
      <c r="O89" s="87">
        <f>SUM(O76:O88)</f>
        <v>239.79553099885953</v>
      </c>
      <c r="P89" s="87">
        <f>SUM(P76:P88)</f>
        <v>281.88586010980544</v>
      </c>
      <c r="Q89" s="87">
        <f>SUM(Q76:Q88)</f>
        <v>349.11999254004041</v>
      </c>
      <c r="R89" s="87">
        <f>SUM(R76:R88)</f>
        <v>443.2845226856432</v>
      </c>
      <c r="S89" s="87"/>
      <c r="T89" s="87">
        <f>SUM(T76:T88)</f>
        <v>252.12605881610793</v>
      </c>
      <c r="U89" s="87">
        <f>SUM(U76:U88)</f>
        <v>239.79553099885953</v>
      </c>
      <c r="V89" s="87">
        <f>SUM(V76:V88)</f>
        <v>281.88586010980538</v>
      </c>
      <c r="W89" s="87">
        <f>SUM(W76:W88)</f>
        <v>349.11999254004047</v>
      </c>
      <c r="X89" s="87">
        <f>SUM(X76:X88)</f>
        <v>443.2845226856432</v>
      </c>
    </row>
    <row r="90" spans="1:44">
      <c r="A90" s="225" t="s">
        <v>16</v>
      </c>
      <c r="L90" s="225">
        <f>L89/F89</f>
        <v>1.8143260834399726</v>
      </c>
      <c r="N90" s="5" t="s">
        <v>41</v>
      </c>
      <c r="T90" s="5" t="s">
        <v>197</v>
      </c>
    </row>
    <row r="91" spans="1:44" ht="15.75" thickBot="1">
      <c r="A91" s="225" t="s">
        <v>16</v>
      </c>
      <c r="B91" s="14" t="s">
        <v>209</v>
      </c>
      <c r="C91" s="14"/>
      <c r="D91" s="14"/>
      <c r="F91" s="225">
        <f t="shared" ref="F91:L91" si="53">F$4</f>
        <v>2012</v>
      </c>
      <c r="G91" s="225">
        <f t="shared" si="53"/>
        <v>2015</v>
      </c>
      <c r="H91" s="225">
        <f t="shared" si="53"/>
        <v>2017</v>
      </c>
      <c r="I91" s="225">
        <f t="shared" si="53"/>
        <v>2020</v>
      </c>
      <c r="J91" s="225">
        <f t="shared" si="53"/>
        <v>2030</v>
      </c>
      <c r="K91" s="225">
        <f t="shared" si="53"/>
        <v>2040</v>
      </c>
      <c r="L91" s="225">
        <f t="shared" si="53"/>
        <v>2050</v>
      </c>
      <c r="N91" s="7">
        <v>2012</v>
      </c>
      <c r="O91" s="7">
        <v>2020</v>
      </c>
      <c r="P91" s="7">
        <v>2030</v>
      </c>
      <c r="Q91" s="7">
        <v>2040</v>
      </c>
      <c r="R91" s="7">
        <v>2050</v>
      </c>
      <c r="T91" s="7">
        <f>N91</f>
        <v>2012</v>
      </c>
      <c r="U91" s="7">
        <f>O91</f>
        <v>2020</v>
      </c>
      <c r="V91" s="7">
        <f>P91</f>
        <v>2030</v>
      </c>
      <c r="W91" s="7">
        <f>Q91</f>
        <v>2040</v>
      </c>
      <c r="X91" s="7">
        <f>R91</f>
        <v>2050</v>
      </c>
    </row>
    <row r="92" spans="1:44">
      <c r="A92" s="225" t="s">
        <v>16</v>
      </c>
      <c r="B92" s="226" t="str">
        <f>'[3]TS BYDem'!D19</f>
        <v>TFLCV</v>
      </c>
      <c r="C92" s="226" t="str">
        <f>C13</f>
        <v>Transport Freight - LCV</v>
      </c>
      <c r="D92" s="225" t="s">
        <v>150</v>
      </c>
      <c r="F92" s="278">
        <v>43.112503750568798</v>
      </c>
      <c r="G92" s="279">
        <v>44.4</v>
      </c>
      <c r="H92" s="226">
        <v>45.342821165621402</v>
      </c>
      <c r="I92" s="226">
        <f>I43/I63</f>
        <v>43.690087939484705</v>
      </c>
      <c r="J92" s="10">
        <f>J43/J63</f>
        <v>51.484135870485829</v>
      </c>
      <c r="K92" s="10">
        <f>K43/K63</f>
        <v>64.431434286146057</v>
      </c>
      <c r="L92" s="10">
        <f>L43/L63</f>
        <v>83.316269741093109</v>
      </c>
      <c r="N92" s="10">
        <f>N43/N63</f>
        <v>45.18452316824434</v>
      </c>
      <c r="O92" s="10">
        <f>O43/O63</f>
        <v>43.690087939484705</v>
      </c>
      <c r="P92" s="10">
        <f>P43/P63</f>
        <v>51.484135870485829</v>
      </c>
      <c r="Q92" s="10">
        <f>Q43/Q63</f>
        <v>64.431434286146057</v>
      </c>
      <c r="R92" s="10">
        <f>R43/R63</f>
        <v>83.316269741093109</v>
      </c>
      <c r="T92" s="10">
        <f>T43/T63</f>
        <v>45.18452316824434</v>
      </c>
      <c r="U92" s="10">
        <f>U43/U63</f>
        <v>43.690087939484705</v>
      </c>
      <c r="V92" s="10">
        <f>V43/V63</f>
        <v>51.484135870485829</v>
      </c>
      <c r="W92" s="10">
        <f>W43/W63</f>
        <v>64.431434286146057</v>
      </c>
      <c r="X92" s="10">
        <f>X43/X63</f>
        <v>83.316269741093109</v>
      </c>
    </row>
    <row r="93" spans="1:44">
      <c r="A93" s="225" t="s">
        <v>16</v>
      </c>
      <c r="B93" s="226" t="str">
        <f>'[3]TS BYDem'!D20</f>
        <v>TFHCV1</v>
      </c>
      <c r="C93" s="226" t="str">
        <f t="shared" ref="C93:C99" si="54">C14</f>
        <v>Transport Freight - HCV1</v>
      </c>
      <c r="D93" s="225" t="s">
        <v>150</v>
      </c>
      <c r="F93" s="278">
        <v>3.31</v>
      </c>
      <c r="G93" s="10">
        <v>3.4</v>
      </c>
      <c r="H93" s="10">
        <v>3.45</v>
      </c>
      <c r="I93" s="10">
        <f>I46/I64</f>
        <v>3.3543445288256182</v>
      </c>
      <c r="J93" s="10">
        <f>J46/J64</f>
        <v>3.9527393425639255</v>
      </c>
      <c r="K93" s="10">
        <f>K46/K64</f>
        <v>4.946779447582645</v>
      </c>
      <c r="L93" s="10">
        <f>L46/L64</f>
        <v>6.3966791267459095</v>
      </c>
      <c r="N93" s="10">
        <f>N46/N64</f>
        <v>3.4690810942501931</v>
      </c>
      <c r="O93" s="10">
        <f>O46/O64</f>
        <v>3.3543445288256182</v>
      </c>
      <c r="P93" s="10">
        <f>P46/P64</f>
        <v>3.9527393425639255</v>
      </c>
      <c r="Q93" s="10">
        <f>Q46/Q64</f>
        <v>4.946779447582645</v>
      </c>
      <c r="R93" s="10">
        <f>R46/R64</f>
        <v>6.3966791267459095</v>
      </c>
      <c r="T93" s="10">
        <f>T46/T64</f>
        <v>3.4690810942501931</v>
      </c>
      <c r="U93" s="10">
        <f>U46/U64</f>
        <v>3.1866273023843368</v>
      </c>
      <c r="V93" s="10">
        <f>V46/V64</f>
        <v>3.5673472566639424</v>
      </c>
      <c r="W93" s="10">
        <f>W46/W64</f>
        <v>4.2412450288711696</v>
      </c>
      <c r="X93" s="10">
        <f>X46/X64</f>
        <v>5.2101351279790844</v>
      </c>
    </row>
    <row r="94" spans="1:44">
      <c r="A94" s="225" t="s">
        <v>16</v>
      </c>
      <c r="B94" s="226" t="str">
        <f>'[3]TS BYDem'!D21</f>
        <v>TFHCV2</v>
      </c>
      <c r="C94" s="226" t="str">
        <f t="shared" si="54"/>
        <v>Transport Freight - HCV2</v>
      </c>
      <c r="D94" s="225" t="s">
        <v>150</v>
      </c>
      <c r="F94" s="278">
        <v>0.65478395407088008</v>
      </c>
      <c r="G94" s="10">
        <v>0.704124436203308</v>
      </c>
      <c r="H94" s="10">
        <v>0.73600943824652509</v>
      </c>
      <c r="I94" s="10">
        <f>I51/I65</f>
        <v>0.66355618546841744</v>
      </c>
      <c r="J94" s="10">
        <f>J51/J65</f>
        <v>0.78193060306209605</v>
      </c>
      <c r="K94" s="10">
        <f>K51/K65</f>
        <v>0.97857154278088487</v>
      </c>
      <c r="L94" s="10">
        <f>L51/L65</f>
        <v>1.2653905895871151</v>
      </c>
      <c r="N94" s="10">
        <f t="shared" ref="N94:R101" si="55">N51/N65</f>
        <v>0.68625336431591455</v>
      </c>
      <c r="O94" s="10">
        <f t="shared" si="55"/>
        <v>0.66355618546841744</v>
      </c>
      <c r="P94" s="10">
        <f t="shared" si="55"/>
        <v>0.78193060306209605</v>
      </c>
      <c r="Q94" s="10">
        <f t="shared" si="55"/>
        <v>0.97857154278088487</v>
      </c>
      <c r="R94" s="10">
        <f t="shared" si="55"/>
        <v>1.2653905895871151</v>
      </c>
      <c r="T94" s="10">
        <f t="shared" ref="T94:X101" si="56">T51/T65</f>
        <v>0.68625336431591455</v>
      </c>
      <c r="U94" s="10">
        <f t="shared" si="56"/>
        <v>0.63037837619499637</v>
      </c>
      <c r="V94" s="10">
        <f t="shared" si="56"/>
        <v>0.70569236926354162</v>
      </c>
      <c r="W94" s="10">
        <f t="shared" si="56"/>
        <v>0.83900277649176092</v>
      </c>
      <c r="X94" s="10">
        <f t="shared" si="56"/>
        <v>1.0306685439098902</v>
      </c>
    </row>
    <row r="95" spans="1:44">
      <c r="A95" s="225" t="s">
        <v>16</v>
      </c>
      <c r="B95" s="226" t="str">
        <f>'[3]TS BYDem'!D22</f>
        <v>TFHCV3</v>
      </c>
      <c r="C95" s="226" t="str">
        <f t="shared" si="54"/>
        <v>Transport Freight - HCV3</v>
      </c>
      <c r="D95" s="225" t="s">
        <v>150</v>
      </c>
      <c r="F95" s="278">
        <v>2.7114063478211299</v>
      </c>
      <c r="G95" s="10">
        <v>2.9</v>
      </c>
      <c r="H95" s="10">
        <v>3.0305969254191498</v>
      </c>
      <c r="I95" s="10">
        <f t="shared" ref="I95:L101" si="57">I52/I66</f>
        <v>2.7477314345126458</v>
      </c>
      <c r="J95" s="10">
        <f t="shared" si="57"/>
        <v>3.2379101343535193</v>
      </c>
      <c r="K95" s="10">
        <f t="shared" si="57"/>
        <v>4.0521840469627461</v>
      </c>
      <c r="L95" s="10">
        <f t="shared" si="57"/>
        <v>5.2398780632126236</v>
      </c>
      <c r="N95" s="10">
        <f t="shared" si="55"/>
        <v>2.8417185800774161</v>
      </c>
      <c r="O95" s="10">
        <f t="shared" si="55"/>
        <v>2.7477314345126458</v>
      </c>
      <c r="P95" s="10">
        <f t="shared" si="55"/>
        <v>3.2379101343535193</v>
      </c>
      <c r="Q95" s="10">
        <f t="shared" si="55"/>
        <v>4.0521840469627461</v>
      </c>
      <c r="R95" s="10">
        <f t="shared" si="55"/>
        <v>5.2398780632126236</v>
      </c>
      <c r="T95" s="10">
        <f t="shared" si="56"/>
        <v>2.8417185800774161</v>
      </c>
      <c r="U95" s="10">
        <f t="shared" si="56"/>
        <v>2.6103448627870138</v>
      </c>
      <c r="V95" s="10">
        <f t="shared" si="56"/>
        <v>2.9222138962540511</v>
      </c>
      <c r="W95" s="10">
        <f t="shared" si="56"/>
        <v>3.4742412972646841</v>
      </c>
      <c r="X95" s="10">
        <f t="shared" si="56"/>
        <v>4.267913431724577</v>
      </c>
    </row>
    <row r="96" spans="1:44">
      <c r="A96" s="225" t="s">
        <v>16</v>
      </c>
      <c r="B96" s="226" t="str">
        <f>'[3]TS BYDem'!D23</f>
        <v>TFHCV4</v>
      </c>
      <c r="C96" s="226" t="str">
        <f t="shared" si="54"/>
        <v>Transport Freight - HCV4</v>
      </c>
      <c r="D96" s="225" t="s">
        <v>150</v>
      </c>
      <c r="F96" s="278">
        <v>0.57023972229676601</v>
      </c>
      <c r="G96" s="226">
        <v>0.53653175775760331</v>
      </c>
      <c r="H96" s="226">
        <v>0.54380700000000004</v>
      </c>
      <c r="I96" s="10">
        <f t="shared" si="57"/>
        <v>0.57787930290187217</v>
      </c>
      <c r="J96" s="10">
        <f t="shared" si="57"/>
        <v>0.68096948187769013</v>
      </c>
      <c r="K96" s="10">
        <f t="shared" si="57"/>
        <v>0.85222058563531033</v>
      </c>
      <c r="L96" s="10">
        <f t="shared" si="57"/>
        <v>1.1020062020716337</v>
      </c>
      <c r="N96" s="10">
        <f t="shared" si="55"/>
        <v>0.5976458730544385</v>
      </c>
      <c r="O96" s="10">
        <f t="shared" si="55"/>
        <v>0.57787930290187217</v>
      </c>
      <c r="P96" s="10">
        <f t="shared" si="55"/>
        <v>0.68096948187769013</v>
      </c>
      <c r="Q96" s="10">
        <f t="shared" si="55"/>
        <v>0.85222058563531033</v>
      </c>
      <c r="R96" s="10">
        <f t="shared" si="55"/>
        <v>1.1020062020716337</v>
      </c>
      <c r="T96" s="10">
        <f t="shared" si="56"/>
        <v>0.5976458730544385</v>
      </c>
      <c r="U96" s="10">
        <f t="shared" si="56"/>
        <v>0.54898533775677849</v>
      </c>
      <c r="V96" s="10">
        <f t="shared" si="56"/>
        <v>0.61457495739461532</v>
      </c>
      <c r="W96" s="10">
        <f t="shared" si="56"/>
        <v>0.73067262460907423</v>
      </c>
      <c r="X96" s="10">
        <f t="shared" si="56"/>
        <v>0.89759093912610854</v>
      </c>
    </row>
    <row r="97" spans="1:78">
      <c r="A97" s="225" t="s">
        <v>16</v>
      </c>
      <c r="B97" s="226" t="str">
        <f>'[3]TS BYDem'!D24</f>
        <v>TFHCV5</v>
      </c>
      <c r="C97" s="226" t="str">
        <f t="shared" si="54"/>
        <v>Transport Freight - HCV5</v>
      </c>
      <c r="D97" s="225" t="s">
        <v>150</v>
      </c>
      <c r="F97" s="278">
        <v>0.27326501935541303</v>
      </c>
      <c r="G97" s="10">
        <v>0.28568357599999999</v>
      </c>
      <c r="H97" s="10">
        <v>0.289557377</v>
      </c>
      <c r="I97" s="10">
        <f t="shared" si="57"/>
        <v>0.27692598869917107</v>
      </c>
      <c r="J97" s="10">
        <f t="shared" si="57"/>
        <v>0.32632791327874133</v>
      </c>
      <c r="K97" s="10">
        <f t="shared" si="57"/>
        <v>0.40839328745940517</v>
      </c>
      <c r="L97" s="10">
        <f t="shared" si="57"/>
        <v>0.52809324633854615</v>
      </c>
      <c r="N97" s="10">
        <f t="shared" si="55"/>
        <v>0.28639834210446424</v>
      </c>
      <c r="O97" s="10">
        <f t="shared" si="55"/>
        <v>0.27692598869917107</v>
      </c>
      <c r="P97" s="10">
        <f t="shared" si="55"/>
        <v>0.32632791327874133</v>
      </c>
      <c r="Q97" s="10">
        <f t="shared" si="55"/>
        <v>0.40839328745940517</v>
      </c>
      <c r="R97" s="10">
        <f t="shared" si="55"/>
        <v>0.52809324633854615</v>
      </c>
      <c r="T97" s="10">
        <f t="shared" si="56"/>
        <v>0.28639834210446424</v>
      </c>
      <c r="U97" s="10">
        <f t="shared" si="56"/>
        <v>0.26307968926421255</v>
      </c>
      <c r="V97" s="10">
        <f t="shared" si="56"/>
        <v>0.294510941734064</v>
      </c>
      <c r="W97" s="10">
        <f t="shared" si="56"/>
        <v>0.35014619483550746</v>
      </c>
      <c r="X97" s="10">
        <f t="shared" si="56"/>
        <v>0.43013524972553541</v>
      </c>
    </row>
    <row r="98" spans="1:78">
      <c r="A98" s="225" t="s">
        <v>16</v>
      </c>
      <c r="B98" s="226" t="str">
        <f>'[3]TS BYDem'!D25</f>
        <v>TFHCV6</v>
      </c>
      <c r="C98" s="226" t="str">
        <f t="shared" si="54"/>
        <v>Transport Freight - HCV6</v>
      </c>
      <c r="D98" s="225" t="s">
        <v>150</v>
      </c>
      <c r="F98" s="278">
        <v>5.0361375113209599</v>
      </c>
      <c r="G98" s="10">
        <v>6.01</v>
      </c>
      <c r="H98" s="10">
        <v>6.6407838452289196</v>
      </c>
      <c r="I98" s="10">
        <f>I55/I69</f>
        <v>5.1036073436594949</v>
      </c>
      <c r="J98" s="10">
        <f>J55/J69</f>
        <v>6.0140600832508566</v>
      </c>
      <c r="K98" s="10">
        <f t="shared" si="57"/>
        <v>7.5264838477953289</v>
      </c>
      <c r="L98" s="10">
        <f t="shared" si="57"/>
        <v>9.7324941686069124</v>
      </c>
      <c r="N98" s="10">
        <f t="shared" si="55"/>
        <v>5.278178075096001</v>
      </c>
      <c r="O98" s="10">
        <f t="shared" si="55"/>
        <v>5.1036073436594949</v>
      </c>
      <c r="P98" s="10">
        <f t="shared" si="55"/>
        <v>6.0140600832508566</v>
      </c>
      <c r="Q98" s="10">
        <f t="shared" si="55"/>
        <v>7.5264838477953289</v>
      </c>
      <c r="R98" s="10">
        <f t="shared" si="55"/>
        <v>9.7324941686069124</v>
      </c>
      <c r="T98" s="10">
        <f t="shared" si="56"/>
        <v>5.278178075096001</v>
      </c>
      <c r="U98" s="10">
        <f t="shared" si="56"/>
        <v>4.8484269764765191</v>
      </c>
      <c r="V98" s="10">
        <f t="shared" si="56"/>
        <v>5.4276892251338973</v>
      </c>
      <c r="W98" s="10">
        <f t="shared" si="56"/>
        <v>6.4530190890035186</v>
      </c>
      <c r="X98" s="10">
        <f t="shared" si="56"/>
        <v>7.9271773284188818</v>
      </c>
    </row>
    <row r="99" spans="1:78">
      <c r="A99" s="225" t="s">
        <v>16</v>
      </c>
      <c r="B99" s="226" t="str">
        <f>'[3]TS BYDem'!D26</f>
        <v>TFHCV7</v>
      </c>
      <c r="C99" s="226" t="str">
        <f t="shared" si="54"/>
        <v>Transport Freight - HCV7</v>
      </c>
      <c r="D99" s="225" t="s">
        <v>150</v>
      </c>
      <c r="F99" s="278">
        <v>1.5653068685251901</v>
      </c>
      <c r="G99" s="10">
        <v>1.7</v>
      </c>
      <c r="H99" s="10">
        <v>1.78</v>
      </c>
      <c r="I99" s="10">
        <f t="shared" si="57"/>
        <v>1.5862775016225477</v>
      </c>
      <c r="J99" s="10">
        <f t="shared" si="57"/>
        <v>1.8692598315423132</v>
      </c>
      <c r="K99" s="10">
        <f t="shared" si="57"/>
        <v>2.3393437602357587</v>
      </c>
      <c r="L99" s="10">
        <f t="shared" si="57"/>
        <v>3.0250047652106011</v>
      </c>
      <c r="N99" s="10">
        <f t="shared" si="55"/>
        <v>1.6405366961633567</v>
      </c>
      <c r="O99" s="10">
        <f t="shared" si="55"/>
        <v>1.5862775016225477</v>
      </c>
      <c r="P99" s="10">
        <f t="shared" si="55"/>
        <v>1.8692598315423132</v>
      </c>
      <c r="Q99" s="10">
        <f t="shared" si="55"/>
        <v>2.3393437602357587</v>
      </c>
      <c r="R99" s="10">
        <f t="shared" si="55"/>
        <v>3.0250047652106011</v>
      </c>
      <c r="T99" s="10">
        <f t="shared" si="56"/>
        <v>1.6405366961633567</v>
      </c>
      <c r="U99" s="10">
        <f t="shared" si="56"/>
        <v>1.5069636265414201</v>
      </c>
      <c r="V99" s="10">
        <f t="shared" si="56"/>
        <v>1.6870069979669375</v>
      </c>
      <c r="W99" s="10">
        <f t="shared" si="56"/>
        <v>2.0056948564321329</v>
      </c>
      <c r="X99" s="10">
        <f t="shared" si="56"/>
        <v>2.4638852875438162</v>
      </c>
    </row>
    <row r="100" spans="1:78">
      <c r="A100" s="225" t="s">
        <v>16</v>
      </c>
      <c r="B100" s="226" t="str">
        <f>'[3]TS BYDem'!D27</f>
        <v>TFHCV8</v>
      </c>
      <c r="C100" s="226" t="str">
        <f>C21</f>
        <v>Transport Freight - HCV8</v>
      </c>
      <c r="D100" s="225" t="s">
        <v>150</v>
      </c>
      <c r="F100" s="278">
        <v>5.8486156921973897E-2</v>
      </c>
      <c r="G100" s="10">
        <v>7.9893942605822804E-2</v>
      </c>
      <c r="H100" s="10">
        <v>0.102046183451296</v>
      </c>
      <c r="I100" s="10">
        <f>I57/I71</f>
        <v>5.9269704073492351E-2</v>
      </c>
      <c r="J100" s="10">
        <f>J57/J71</f>
        <v>6.9843061468535847E-2</v>
      </c>
      <c r="K100" s="10">
        <f>K57/K71</f>
        <v>8.7407286715925653E-2</v>
      </c>
      <c r="L100" s="10">
        <f>L57/L71</f>
        <v>0.11302633812277227</v>
      </c>
      <c r="N100" s="10">
        <f t="shared" si="55"/>
        <v>6.1297045695882083E-2</v>
      </c>
      <c r="O100" s="10">
        <f t="shared" si="55"/>
        <v>5.9269704073492351E-2</v>
      </c>
      <c r="P100" s="10">
        <f t="shared" si="55"/>
        <v>6.9843061468535847E-2</v>
      </c>
      <c r="Q100" s="10">
        <f t="shared" si="55"/>
        <v>8.7407286715925653E-2</v>
      </c>
      <c r="R100" s="10">
        <f t="shared" si="55"/>
        <v>0.11302633812277227</v>
      </c>
      <c r="T100" s="10">
        <f t="shared" si="56"/>
        <v>6.1297045695882083E-2</v>
      </c>
      <c r="U100" s="10">
        <f t="shared" si="56"/>
        <v>5.6306218869817723E-2</v>
      </c>
      <c r="V100" s="10">
        <f t="shared" si="56"/>
        <v>6.3033362975353613E-2</v>
      </c>
      <c r="W100" s="10">
        <f t="shared" si="56"/>
        <v>7.4940822448066768E-2</v>
      </c>
      <c r="X100" s="10">
        <f t="shared" si="56"/>
        <v>9.2060658815611277E-2</v>
      </c>
    </row>
    <row r="101" spans="1:78">
      <c r="A101" s="225" t="s">
        <v>16</v>
      </c>
      <c r="B101" s="226" t="str">
        <f>'[3]TS BYDem'!D28</f>
        <v>TFHCV9</v>
      </c>
      <c r="C101" s="226" t="str">
        <f>C22</f>
        <v>Transport Freight - HCV9</v>
      </c>
      <c r="D101" s="225" t="s">
        <v>150</v>
      </c>
      <c r="F101" s="278">
        <v>3.9969372950314899E-2</v>
      </c>
      <c r="G101" s="24">
        <v>2.2368931977559604E-2</v>
      </c>
      <c r="H101" s="226">
        <v>2.2670999999999997E-2</v>
      </c>
      <c r="I101" s="226">
        <f t="shared" si="57"/>
        <v>4.050484818020527E-2</v>
      </c>
      <c r="J101" s="226">
        <f t="shared" si="57"/>
        <v>4.7730668567468292E-2</v>
      </c>
      <c r="K101" s="10">
        <f t="shared" si="57"/>
        <v>5.9734040073529754E-2</v>
      </c>
      <c r="L101" s="10">
        <f t="shared" si="57"/>
        <v>7.724207059226644E-2</v>
      </c>
      <c r="N101" s="10">
        <f t="shared" si="55"/>
        <v>4.1890331133224316E-2</v>
      </c>
      <c r="O101" s="10">
        <f t="shared" si="55"/>
        <v>4.050484818020527E-2</v>
      </c>
      <c r="P101" s="10">
        <f t="shared" si="55"/>
        <v>4.7730668567468292E-2</v>
      </c>
      <c r="Q101" s="10">
        <f t="shared" si="55"/>
        <v>5.9734040073529754E-2</v>
      </c>
      <c r="R101" s="10">
        <f t="shared" si="55"/>
        <v>7.724207059226644E-2</v>
      </c>
      <c r="T101" s="10">
        <f t="shared" si="56"/>
        <v>4.1890331133224316E-2</v>
      </c>
      <c r="U101" s="10">
        <f t="shared" si="56"/>
        <v>3.8479605771195004E-2</v>
      </c>
      <c r="V101" s="10">
        <f t="shared" si="56"/>
        <v>4.3076928382140132E-2</v>
      </c>
      <c r="W101" s="10">
        <f t="shared" si="56"/>
        <v>5.1214472608042572E-2</v>
      </c>
      <c r="X101" s="10">
        <f t="shared" si="56"/>
        <v>6.2914149260342209E-2</v>
      </c>
    </row>
    <row r="102" spans="1:78">
      <c r="A102" s="225" t="s">
        <v>16</v>
      </c>
      <c r="B102" s="226" t="str">
        <f>'[3]TS BYDem'!D29</f>
        <v>TFRCO</v>
      </c>
      <c r="C102" s="226" t="str">
        <f>C23</f>
        <v>Transport Freight - Rail Corridor</v>
      </c>
      <c r="D102" s="225" t="s">
        <v>149</v>
      </c>
      <c r="F102" s="278">
        <f>'[3]TS BYDem'!J29</f>
        <v>22</v>
      </c>
      <c r="G102" s="10">
        <f t="shared" ref="G102:L102" si="58">G59</f>
        <v>23.057336578097956</v>
      </c>
      <c r="H102" s="10">
        <f t="shared" si="58"/>
        <v>23.44080369700621</v>
      </c>
      <c r="I102" s="10">
        <f t="shared" si="58"/>
        <v>22.294737049596247</v>
      </c>
      <c r="J102" s="10">
        <f t="shared" si="58"/>
        <v>26.271983545742096</v>
      </c>
      <c r="K102" s="10">
        <f t="shared" si="58"/>
        <v>32.878896630458662</v>
      </c>
      <c r="L102" s="10">
        <f t="shared" si="58"/>
        <v>42.515692081090634</v>
      </c>
      <c r="N102" s="10"/>
    </row>
    <row r="103" spans="1:78">
      <c r="A103" s="225" t="s">
        <v>16</v>
      </c>
      <c r="B103" s="226" t="str">
        <f>'[3]TS BYDem'!D30</f>
        <v>TFROT</v>
      </c>
      <c r="C103" s="226" t="str">
        <f>C24</f>
        <v>Transport Freight - Rail Other</v>
      </c>
      <c r="D103" s="225" t="s">
        <v>149</v>
      </c>
      <c r="F103" s="278">
        <f>'[3]TS BYDem'!J30</f>
        <v>25.099999999999998</v>
      </c>
      <c r="G103" s="10">
        <f t="shared" ref="G103:L103" si="59">G47</f>
        <v>26.306324914102674</v>
      </c>
      <c r="H103" s="10">
        <f t="shared" si="59"/>
        <v>26.743826036129818</v>
      </c>
      <c r="I103" s="10">
        <f t="shared" si="59"/>
        <v>25.436268179312087</v>
      </c>
      <c r="J103" s="10">
        <f t="shared" si="59"/>
        <v>29.973944863551218</v>
      </c>
      <c r="K103" s="10">
        <f t="shared" si="59"/>
        <v>37.511832064750578</v>
      </c>
      <c r="L103" s="10">
        <f t="shared" si="59"/>
        <v>48.506539601607962</v>
      </c>
      <c r="N103" s="10"/>
    </row>
    <row r="104" spans="1:78">
      <c r="A104" s="225" t="s">
        <v>16</v>
      </c>
      <c r="B104" s="226" t="str">
        <f>'[3]TS BYDem'!D31</f>
        <v>TFREX</v>
      </c>
      <c r="C104" s="226" t="str">
        <f>C25</f>
        <v>Transport Freight - Rail Export (bulk mining)</v>
      </c>
      <c r="D104" s="225" t="s">
        <v>149</v>
      </c>
      <c r="F104" s="278">
        <f>'[3]TS BYDem'!J31</f>
        <v>82</v>
      </c>
      <c r="G104" s="10">
        <f>F104</f>
        <v>82</v>
      </c>
      <c r="H104" s="10">
        <f>G104</f>
        <v>82</v>
      </c>
      <c r="I104" s="10">
        <f>G104*(1+(G25+I25)/2*((I8/G8)^(1/(I$4-G$4))-1))^(I$4-G$4)</f>
        <v>75.296230147600639</v>
      </c>
      <c r="J104" s="10">
        <f>I104*(1+(I25+J25)/2*((J8/I8)^(1/(J$4-I$4))-1))^(J$4-I$4)</f>
        <v>88.040877070249081</v>
      </c>
      <c r="K104" s="10">
        <f>J104*(1+(J25+K25)/2*((K8/J8)^(1/(K$4-J$4))-1))^(K$4-J$4)</f>
        <v>106.52661741121335</v>
      </c>
      <c r="L104" s="10">
        <f>K104*(1+(K25+L25)/2*((L8/K8)^(1/(L$4-K$4))-1))^(L$4-K$4)</f>
        <v>129.58709683179265</v>
      </c>
      <c r="N104" s="10"/>
    </row>
    <row r="105" spans="1:78">
      <c r="B105" s="226"/>
      <c r="C105" s="226"/>
      <c r="F105" s="278"/>
      <c r="G105" s="10"/>
      <c r="H105" s="10"/>
      <c r="I105" s="10"/>
      <c r="J105" s="10"/>
      <c r="K105" s="10"/>
      <c r="L105" s="10"/>
      <c r="N105" s="10"/>
    </row>
    <row r="106" spans="1:78" ht="23.25">
      <c r="A106" s="136" t="s">
        <v>16</v>
      </c>
      <c r="B106" s="140" t="s">
        <v>18</v>
      </c>
      <c r="C106" s="140" t="s">
        <v>19</v>
      </c>
      <c r="D106" s="140" t="s">
        <v>20</v>
      </c>
      <c r="E106" s="140" t="s">
        <v>21</v>
      </c>
      <c r="F106" s="140" t="s">
        <v>22</v>
      </c>
      <c r="G106" s="140" t="s">
        <v>23</v>
      </c>
      <c r="H106" s="140" t="s">
        <v>24</v>
      </c>
      <c r="I106" s="140" t="s">
        <v>650</v>
      </c>
      <c r="J106" s="141" t="s">
        <v>25</v>
      </c>
      <c r="K106" s="225">
        <v>2012</v>
      </c>
      <c r="L106" s="225">
        <f>1+K106</f>
        <v>2013</v>
      </c>
      <c r="M106" s="225">
        <f t="shared" ref="M106:AW106" si="60">1+L106</f>
        <v>2014</v>
      </c>
      <c r="N106" s="225">
        <f t="shared" si="60"/>
        <v>2015</v>
      </c>
      <c r="O106" s="225">
        <f t="shared" si="60"/>
        <v>2016</v>
      </c>
      <c r="P106" s="225">
        <f t="shared" si="60"/>
        <v>2017</v>
      </c>
      <c r="Q106" s="225">
        <f t="shared" si="60"/>
        <v>2018</v>
      </c>
      <c r="R106" s="225">
        <f t="shared" si="60"/>
        <v>2019</v>
      </c>
      <c r="S106" s="225">
        <f t="shared" si="60"/>
        <v>2020</v>
      </c>
      <c r="T106" s="225">
        <f t="shared" si="60"/>
        <v>2021</v>
      </c>
      <c r="U106" s="225">
        <f t="shared" si="60"/>
        <v>2022</v>
      </c>
      <c r="V106" s="225">
        <f t="shared" si="60"/>
        <v>2023</v>
      </c>
      <c r="W106" s="225">
        <f t="shared" si="60"/>
        <v>2024</v>
      </c>
      <c r="X106" s="225">
        <f t="shared" si="60"/>
        <v>2025</v>
      </c>
      <c r="Y106" s="225">
        <f t="shared" si="60"/>
        <v>2026</v>
      </c>
      <c r="Z106" s="225">
        <f t="shared" si="60"/>
        <v>2027</v>
      </c>
      <c r="AA106" s="225">
        <f t="shared" si="60"/>
        <v>2028</v>
      </c>
      <c r="AB106" s="225">
        <f t="shared" si="60"/>
        <v>2029</v>
      </c>
      <c r="AC106" s="225">
        <f t="shared" si="60"/>
        <v>2030</v>
      </c>
      <c r="AD106" s="225">
        <f t="shared" si="60"/>
        <v>2031</v>
      </c>
      <c r="AE106" s="225">
        <f t="shared" si="60"/>
        <v>2032</v>
      </c>
      <c r="AF106" s="225">
        <f t="shared" si="60"/>
        <v>2033</v>
      </c>
      <c r="AG106" s="225">
        <f t="shared" si="60"/>
        <v>2034</v>
      </c>
      <c r="AH106" s="225">
        <f t="shared" si="60"/>
        <v>2035</v>
      </c>
      <c r="AI106" s="225">
        <f t="shared" si="60"/>
        <v>2036</v>
      </c>
      <c r="AJ106" s="225">
        <f t="shared" si="60"/>
        <v>2037</v>
      </c>
      <c r="AK106" s="225">
        <f t="shared" si="60"/>
        <v>2038</v>
      </c>
      <c r="AL106" s="225">
        <f t="shared" si="60"/>
        <v>2039</v>
      </c>
      <c r="AM106" s="225">
        <f t="shared" si="60"/>
        <v>2040</v>
      </c>
      <c r="AN106" s="225">
        <f t="shared" si="60"/>
        <v>2041</v>
      </c>
      <c r="AO106" s="225">
        <f t="shared" si="60"/>
        <v>2042</v>
      </c>
      <c r="AP106" s="225">
        <f t="shared" si="60"/>
        <v>2043</v>
      </c>
      <c r="AQ106" s="225">
        <f t="shared" si="60"/>
        <v>2044</v>
      </c>
      <c r="AR106" s="225">
        <f t="shared" si="60"/>
        <v>2045</v>
      </c>
      <c r="AS106" s="225">
        <f t="shared" si="60"/>
        <v>2046</v>
      </c>
      <c r="AT106" s="225">
        <f t="shared" si="60"/>
        <v>2047</v>
      </c>
      <c r="AU106" s="225">
        <f t="shared" si="60"/>
        <v>2048</v>
      </c>
      <c r="AV106" s="225">
        <f t="shared" si="60"/>
        <v>2049</v>
      </c>
      <c r="AW106" s="225">
        <f t="shared" si="60"/>
        <v>2050</v>
      </c>
      <c r="AX106" s="225">
        <v>2060</v>
      </c>
      <c r="AY106" s="225">
        <v>2070</v>
      </c>
    </row>
    <row r="107" spans="1:78" s="231" customFormat="1">
      <c r="A107" s="136" t="s">
        <v>16</v>
      </c>
      <c r="B107" s="231" t="s">
        <v>393</v>
      </c>
      <c r="C107" s="231">
        <v>1</v>
      </c>
      <c r="D107" s="231">
        <v>2012</v>
      </c>
      <c r="E107" s="231">
        <v>2015</v>
      </c>
      <c r="F107" s="231">
        <v>2017</v>
      </c>
      <c r="G107" s="231">
        <v>2020</v>
      </c>
      <c r="H107" s="231">
        <v>2030</v>
      </c>
      <c r="I107" s="231">
        <v>2040</v>
      </c>
      <c r="J107" s="280">
        <v>2050</v>
      </c>
      <c r="K107" s="231">
        <f t="shared" ref="K107:T108" si="61">MATCH(K$106,$D$107:$J$107,$C107)</f>
        <v>1</v>
      </c>
      <c r="L107" s="231">
        <f t="shared" si="61"/>
        <v>1</v>
      </c>
      <c r="M107" s="231">
        <f t="shared" si="61"/>
        <v>1</v>
      </c>
      <c r="N107" s="231">
        <f t="shared" si="61"/>
        <v>2</v>
      </c>
      <c r="O107" s="231">
        <f t="shared" si="61"/>
        <v>2</v>
      </c>
      <c r="P107" s="231">
        <f t="shared" si="61"/>
        <v>3</v>
      </c>
      <c r="Q107" s="231">
        <f t="shared" si="61"/>
        <v>3</v>
      </c>
      <c r="R107" s="231">
        <f t="shared" si="61"/>
        <v>3</v>
      </c>
      <c r="S107" s="231">
        <f t="shared" si="61"/>
        <v>4</v>
      </c>
      <c r="T107" s="231">
        <f t="shared" si="61"/>
        <v>4</v>
      </c>
      <c r="U107" s="231">
        <f t="shared" ref="U107:AD108" si="62">MATCH(U$106,$D$107:$J$107,$C107)</f>
        <v>4</v>
      </c>
      <c r="V107" s="231">
        <f t="shared" si="62"/>
        <v>4</v>
      </c>
      <c r="W107" s="231">
        <f t="shared" si="62"/>
        <v>4</v>
      </c>
      <c r="X107" s="231">
        <f t="shared" si="62"/>
        <v>4</v>
      </c>
      <c r="Y107" s="231">
        <f t="shared" si="62"/>
        <v>4</v>
      </c>
      <c r="Z107" s="231">
        <f t="shared" si="62"/>
        <v>4</v>
      </c>
      <c r="AA107" s="231">
        <f t="shared" si="62"/>
        <v>4</v>
      </c>
      <c r="AB107" s="231">
        <f t="shared" si="62"/>
        <v>4</v>
      </c>
      <c r="AC107" s="231">
        <f t="shared" si="62"/>
        <v>5</v>
      </c>
      <c r="AD107" s="231">
        <f t="shared" si="62"/>
        <v>5</v>
      </c>
      <c r="AE107" s="231">
        <f t="shared" ref="AE107:AN108" si="63">MATCH(AE$106,$D$107:$J$107,$C107)</f>
        <v>5</v>
      </c>
      <c r="AF107" s="231">
        <f t="shared" si="63"/>
        <v>5</v>
      </c>
      <c r="AG107" s="231">
        <f t="shared" si="63"/>
        <v>5</v>
      </c>
      <c r="AH107" s="231">
        <f t="shared" si="63"/>
        <v>5</v>
      </c>
      <c r="AI107" s="231">
        <f t="shared" si="63"/>
        <v>5</v>
      </c>
      <c r="AJ107" s="231">
        <f t="shared" si="63"/>
        <v>5</v>
      </c>
      <c r="AK107" s="231">
        <f t="shared" si="63"/>
        <v>5</v>
      </c>
      <c r="AL107" s="231">
        <f t="shared" si="63"/>
        <v>5</v>
      </c>
      <c r="AM107" s="231">
        <f t="shared" si="63"/>
        <v>6</v>
      </c>
      <c r="AN107" s="231">
        <f t="shared" si="63"/>
        <v>6</v>
      </c>
      <c r="AO107" s="231">
        <f t="shared" ref="AO107:AY108" si="64">MATCH(AO$106,$D$107:$J$107,$C107)</f>
        <v>6</v>
      </c>
      <c r="AP107" s="231">
        <f t="shared" si="64"/>
        <v>6</v>
      </c>
      <c r="AQ107" s="231">
        <f t="shared" si="64"/>
        <v>6</v>
      </c>
      <c r="AR107" s="231">
        <f t="shared" si="64"/>
        <v>6</v>
      </c>
      <c r="AS107" s="231">
        <f t="shared" si="64"/>
        <v>6</v>
      </c>
      <c r="AT107" s="231">
        <f t="shared" si="64"/>
        <v>6</v>
      </c>
      <c r="AU107" s="231">
        <f t="shared" si="64"/>
        <v>6</v>
      </c>
      <c r="AV107" s="231">
        <f t="shared" si="64"/>
        <v>6</v>
      </c>
      <c r="AW107" s="231">
        <f t="shared" si="64"/>
        <v>7</v>
      </c>
      <c r="AX107" s="231">
        <f t="shared" si="64"/>
        <v>7</v>
      </c>
      <c r="AY107" s="231">
        <f t="shared" si="64"/>
        <v>7</v>
      </c>
      <c r="AZ107" s="225"/>
      <c r="BA107" s="225"/>
      <c r="BB107" s="225"/>
      <c r="BC107" s="225"/>
      <c r="BD107" s="225"/>
      <c r="BE107" s="225"/>
      <c r="BF107" s="225"/>
      <c r="BG107" s="225"/>
      <c r="BH107" s="225"/>
      <c r="BI107" s="225"/>
      <c r="BJ107" s="225"/>
      <c r="BK107" s="225"/>
      <c r="BL107" s="225"/>
      <c r="BM107" s="225"/>
      <c r="BN107" s="225"/>
      <c r="BO107" s="225"/>
      <c r="BP107" s="225"/>
      <c r="BQ107" s="225"/>
      <c r="BR107" s="225"/>
      <c r="BS107" s="225"/>
      <c r="BT107" s="225"/>
      <c r="BU107" s="225"/>
      <c r="BV107" s="225"/>
      <c r="BW107" s="225"/>
      <c r="BX107" s="225"/>
      <c r="BY107" s="225"/>
      <c r="BZ107" s="225"/>
    </row>
    <row r="108" spans="1:78">
      <c r="A108" s="41" t="s">
        <v>16</v>
      </c>
      <c r="B108" s="225" t="s">
        <v>394</v>
      </c>
      <c r="C108" s="225">
        <v>0</v>
      </c>
      <c r="D108" s="225">
        <f t="shared" ref="D108:I108" si="65">INDEX($D107:$J107,0,COUNT($D107:$J107)-D109)</f>
        <v>2050</v>
      </c>
      <c r="E108" s="225">
        <f t="shared" si="65"/>
        <v>2040</v>
      </c>
      <c r="F108" s="225">
        <f t="shared" si="65"/>
        <v>2030</v>
      </c>
      <c r="G108" s="225">
        <f t="shared" si="65"/>
        <v>2020</v>
      </c>
      <c r="H108" s="225">
        <f t="shared" si="65"/>
        <v>2017</v>
      </c>
      <c r="I108" s="225">
        <f t="shared" si="65"/>
        <v>2015</v>
      </c>
      <c r="J108" s="143">
        <v>2012</v>
      </c>
      <c r="K108" s="41">
        <f t="shared" si="61"/>
        <v>1</v>
      </c>
      <c r="L108" s="41" t="e">
        <f t="shared" si="61"/>
        <v>#N/A</v>
      </c>
      <c r="M108" s="41" t="e">
        <f t="shared" si="61"/>
        <v>#N/A</v>
      </c>
      <c r="N108" s="41">
        <f t="shared" si="61"/>
        <v>2</v>
      </c>
      <c r="O108" s="41" t="e">
        <f t="shared" si="61"/>
        <v>#N/A</v>
      </c>
      <c r="P108" s="41">
        <f t="shared" si="61"/>
        <v>3</v>
      </c>
      <c r="Q108" s="41" t="e">
        <f t="shared" si="61"/>
        <v>#N/A</v>
      </c>
      <c r="R108" s="41" t="e">
        <f t="shared" si="61"/>
        <v>#N/A</v>
      </c>
      <c r="S108" s="41">
        <f t="shared" si="61"/>
        <v>4</v>
      </c>
      <c r="T108" s="41" t="e">
        <f t="shared" si="61"/>
        <v>#N/A</v>
      </c>
      <c r="U108" s="41" t="e">
        <f t="shared" si="62"/>
        <v>#N/A</v>
      </c>
      <c r="V108" s="41" t="e">
        <f t="shared" si="62"/>
        <v>#N/A</v>
      </c>
      <c r="W108" s="41" t="e">
        <f t="shared" si="62"/>
        <v>#N/A</v>
      </c>
      <c r="X108" s="41" t="e">
        <f t="shared" si="62"/>
        <v>#N/A</v>
      </c>
      <c r="Y108" s="41" t="e">
        <f t="shared" si="62"/>
        <v>#N/A</v>
      </c>
      <c r="Z108" s="41" t="e">
        <f t="shared" si="62"/>
        <v>#N/A</v>
      </c>
      <c r="AA108" s="41" t="e">
        <f t="shared" si="62"/>
        <v>#N/A</v>
      </c>
      <c r="AB108" s="41" t="e">
        <f t="shared" si="62"/>
        <v>#N/A</v>
      </c>
      <c r="AC108" s="41">
        <f t="shared" si="62"/>
        <v>5</v>
      </c>
      <c r="AD108" s="41" t="e">
        <f t="shared" si="62"/>
        <v>#N/A</v>
      </c>
      <c r="AE108" s="41" t="e">
        <f t="shared" si="63"/>
        <v>#N/A</v>
      </c>
      <c r="AF108" s="41" t="e">
        <f t="shared" si="63"/>
        <v>#N/A</v>
      </c>
      <c r="AG108" s="41" t="e">
        <f t="shared" si="63"/>
        <v>#N/A</v>
      </c>
      <c r="AH108" s="41" t="e">
        <f t="shared" si="63"/>
        <v>#N/A</v>
      </c>
      <c r="AI108" s="41" t="e">
        <f t="shared" si="63"/>
        <v>#N/A</v>
      </c>
      <c r="AJ108" s="41" t="e">
        <f t="shared" si="63"/>
        <v>#N/A</v>
      </c>
      <c r="AK108" s="41" t="e">
        <f t="shared" si="63"/>
        <v>#N/A</v>
      </c>
      <c r="AL108" s="41" t="e">
        <f t="shared" si="63"/>
        <v>#N/A</v>
      </c>
      <c r="AM108" s="41">
        <f t="shared" si="63"/>
        <v>6</v>
      </c>
      <c r="AN108" s="41" t="e">
        <f t="shared" si="63"/>
        <v>#N/A</v>
      </c>
      <c r="AO108" s="41" t="e">
        <f t="shared" si="64"/>
        <v>#N/A</v>
      </c>
      <c r="AP108" s="41" t="e">
        <f t="shared" si="64"/>
        <v>#N/A</v>
      </c>
      <c r="AQ108" s="41" t="e">
        <f t="shared" si="64"/>
        <v>#N/A</v>
      </c>
      <c r="AR108" s="41" t="e">
        <f t="shared" si="64"/>
        <v>#N/A</v>
      </c>
      <c r="AS108" s="41" t="e">
        <f t="shared" si="64"/>
        <v>#N/A</v>
      </c>
      <c r="AT108" s="41" t="e">
        <f t="shared" si="64"/>
        <v>#N/A</v>
      </c>
      <c r="AU108" s="41" t="e">
        <f t="shared" si="64"/>
        <v>#N/A</v>
      </c>
      <c r="AV108" s="41" t="e">
        <f t="shared" si="64"/>
        <v>#N/A</v>
      </c>
      <c r="AW108" s="41">
        <f t="shared" si="64"/>
        <v>7</v>
      </c>
      <c r="AX108" s="41" t="e">
        <f t="shared" si="64"/>
        <v>#N/A</v>
      </c>
      <c r="AY108" s="41" t="e">
        <f t="shared" si="64"/>
        <v>#N/A</v>
      </c>
    </row>
    <row r="109" spans="1:78">
      <c r="A109" s="41" t="s">
        <v>16</v>
      </c>
      <c r="B109" s="225" t="s">
        <v>392</v>
      </c>
      <c r="C109" s="225">
        <v>-1</v>
      </c>
      <c r="D109" s="225">
        <v>0</v>
      </c>
      <c r="E109" s="225">
        <v>1</v>
      </c>
      <c r="F109" s="228">
        <v>2</v>
      </c>
      <c r="G109" s="225">
        <v>3</v>
      </c>
      <c r="H109" s="225">
        <v>4</v>
      </c>
      <c r="I109" s="225">
        <v>5</v>
      </c>
      <c r="J109" s="225">
        <v>6</v>
      </c>
      <c r="K109" s="41">
        <f t="shared" ref="K109:AY109" si="66">MATCH(K$106,$D$108:$J$108,$C109)</f>
        <v>7</v>
      </c>
      <c r="L109" s="41">
        <f t="shared" si="66"/>
        <v>6</v>
      </c>
      <c r="M109" s="41">
        <f t="shared" si="66"/>
        <v>6</v>
      </c>
      <c r="N109" s="41">
        <f t="shared" si="66"/>
        <v>6</v>
      </c>
      <c r="O109" s="41">
        <f t="shared" si="66"/>
        <v>5</v>
      </c>
      <c r="P109" s="41">
        <f t="shared" si="66"/>
        <v>5</v>
      </c>
      <c r="Q109" s="41">
        <f t="shared" si="66"/>
        <v>4</v>
      </c>
      <c r="R109" s="41">
        <f t="shared" si="66"/>
        <v>4</v>
      </c>
      <c r="S109" s="41">
        <f t="shared" si="66"/>
        <v>4</v>
      </c>
      <c r="T109" s="41">
        <f t="shared" si="66"/>
        <v>3</v>
      </c>
      <c r="U109" s="41">
        <f t="shared" si="66"/>
        <v>3</v>
      </c>
      <c r="V109" s="41">
        <f t="shared" si="66"/>
        <v>3</v>
      </c>
      <c r="W109" s="41">
        <f t="shared" si="66"/>
        <v>3</v>
      </c>
      <c r="X109" s="41">
        <f t="shared" si="66"/>
        <v>3</v>
      </c>
      <c r="Y109" s="41">
        <f t="shared" si="66"/>
        <v>3</v>
      </c>
      <c r="Z109" s="41">
        <f t="shared" si="66"/>
        <v>3</v>
      </c>
      <c r="AA109" s="41">
        <f t="shared" si="66"/>
        <v>3</v>
      </c>
      <c r="AB109" s="41">
        <f t="shared" si="66"/>
        <v>3</v>
      </c>
      <c r="AC109" s="41">
        <f t="shared" si="66"/>
        <v>3</v>
      </c>
      <c r="AD109" s="41">
        <f t="shared" si="66"/>
        <v>2</v>
      </c>
      <c r="AE109" s="41">
        <f t="shared" si="66"/>
        <v>2</v>
      </c>
      <c r="AF109" s="41">
        <f t="shared" si="66"/>
        <v>2</v>
      </c>
      <c r="AG109" s="41">
        <f t="shared" si="66"/>
        <v>2</v>
      </c>
      <c r="AH109" s="41">
        <f t="shared" si="66"/>
        <v>2</v>
      </c>
      <c r="AI109" s="41">
        <f t="shared" si="66"/>
        <v>2</v>
      </c>
      <c r="AJ109" s="41">
        <f t="shared" si="66"/>
        <v>2</v>
      </c>
      <c r="AK109" s="41">
        <f t="shared" si="66"/>
        <v>2</v>
      </c>
      <c r="AL109" s="41">
        <f t="shared" si="66"/>
        <v>2</v>
      </c>
      <c r="AM109" s="41">
        <f t="shared" si="66"/>
        <v>2</v>
      </c>
      <c r="AN109" s="41">
        <f t="shared" si="66"/>
        <v>1</v>
      </c>
      <c r="AO109" s="41">
        <f t="shared" si="66"/>
        <v>1</v>
      </c>
      <c r="AP109" s="41">
        <f t="shared" si="66"/>
        <v>1</v>
      </c>
      <c r="AQ109" s="41">
        <f t="shared" si="66"/>
        <v>1</v>
      </c>
      <c r="AR109" s="41">
        <f t="shared" si="66"/>
        <v>1</v>
      </c>
      <c r="AS109" s="41">
        <f t="shared" si="66"/>
        <v>1</v>
      </c>
      <c r="AT109" s="41">
        <f t="shared" si="66"/>
        <v>1</v>
      </c>
      <c r="AU109" s="41">
        <f t="shared" si="66"/>
        <v>1</v>
      </c>
      <c r="AV109" s="41">
        <f t="shared" si="66"/>
        <v>1</v>
      </c>
      <c r="AW109" s="41">
        <f t="shared" si="66"/>
        <v>1</v>
      </c>
      <c r="AX109" s="41" t="e">
        <f t="shared" si="66"/>
        <v>#N/A</v>
      </c>
      <c r="AY109" s="41" t="e">
        <f t="shared" si="66"/>
        <v>#N/A</v>
      </c>
    </row>
    <row r="110" spans="1:78" s="139" customFormat="1">
      <c r="A110" s="138" t="s">
        <v>16</v>
      </c>
      <c r="B110" s="139" t="s">
        <v>395</v>
      </c>
      <c r="J110" s="144"/>
      <c r="K110" s="229">
        <f>IF(ISNA(K107),-1,IF(ISNA(K109),99,IF(ISNA(K108),K107,0)))</f>
        <v>0</v>
      </c>
      <c r="L110" s="229">
        <f t="shared" ref="L110:AY110" si="67">IF(ISNA(L107),-1,IF(ISNA(L109),99,IF(ISNA(L108),L107,0)))</f>
        <v>1</v>
      </c>
      <c r="M110" s="229">
        <f t="shared" si="67"/>
        <v>1</v>
      </c>
      <c r="N110" s="229">
        <f t="shared" si="67"/>
        <v>0</v>
      </c>
      <c r="O110" s="229">
        <f t="shared" si="67"/>
        <v>2</v>
      </c>
      <c r="P110" s="229">
        <f t="shared" si="67"/>
        <v>0</v>
      </c>
      <c r="Q110" s="229">
        <f t="shared" si="67"/>
        <v>3</v>
      </c>
      <c r="R110" s="229">
        <f t="shared" si="67"/>
        <v>3</v>
      </c>
      <c r="S110" s="229">
        <f t="shared" si="67"/>
        <v>0</v>
      </c>
      <c r="T110" s="229">
        <f t="shared" si="67"/>
        <v>4</v>
      </c>
      <c r="U110" s="229">
        <f t="shared" si="67"/>
        <v>4</v>
      </c>
      <c r="V110" s="229">
        <f t="shared" si="67"/>
        <v>4</v>
      </c>
      <c r="W110" s="229">
        <f t="shared" si="67"/>
        <v>4</v>
      </c>
      <c r="X110" s="229">
        <f t="shared" si="67"/>
        <v>4</v>
      </c>
      <c r="Y110" s="229">
        <f t="shared" si="67"/>
        <v>4</v>
      </c>
      <c r="Z110" s="229">
        <f t="shared" si="67"/>
        <v>4</v>
      </c>
      <c r="AA110" s="229">
        <f t="shared" si="67"/>
        <v>4</v>
      </c>
      <c r="AB110" s="229">
        <f t="shared" si="67"/>
        <v>4</v>
      </c>
      <c r="AC110" s="229">
        <f t="shared" si="67"/>
        <v>0</v>
      </c>
      <c r="AD110" s="229">
        <f t="shared" si="67"/>
        <v>5</v>
      </c>
      <c r="AE110" s="229">
        <f t="shared" si="67"/>
        <v>5</v>
      </c>
      <c r="AF110" s="229">
        <f t="shared" si="67"/>
        <v>5</v>
      </c>
      <c r="AG110" s="229">
        <f t="shared" si="67"/>
        <v>5</v>
      </c>
      <c r="AH110" s="229">
        <f t="shared" si="67"/>
        <v>5</v>
      </c>
      <c r="AI110" s="229">
        <f t="shared" si="67"/>
        <v>5</v>
      </c>
      <c r="AJ110" s="229">
        <f t="shared" si="67"/>
        <v>5</v>
      </c>
      <c r="AK110" s="229">
        <f t="shared" si="67"/>
        <v>5</v>
      </c>
      <c r="AL110" s="229">
        <f t="shared" si="67"/>
        <v>5</v>
      </c>
      <c r="AM110" s="229">
        <f t="shared" si="67"/>
        <v>0</v>
      </c>
      <c r="AN110" s="229">
        <f t="shared" si="67"/>
        <v>6</v>
      </c>
      <c r="AO110" s="229">
        <f t="shared" si="67"/>
        <v>6</v>
      </c>
      <c r="AP110" s="229">
        <f t="shared" si="67"/>
        <v>6</v>
      </c>
      <c r="AQ110" s="229">
        <f t="shared" si="67"/>
        <v>6</v>
      </c>
      <c r="AR110" s="229">
        <f t="shared" si="67"/>
        <v>6</v>
      </c>
      <c r="AS110" s="229">
        <f t="shared" si="67"/>
        <v>6</v>
      </c>
      <c r="AT110" s="229">
        <f t="shared" si="67"/>
        <v>6</v>
      </c>
      <c r="AU110" s="229">
        <f t="shared" si="67"/>
        <v>6</v>
      </c>
      <c r="AV110" s="229">
        <f t="shared" si="67"/>
        <v>6</v>
      </c>
      <c r="AW110" s="229">
        <f t="shared" si="67"/>
        <v>0</v>
      </c>
      <c r="AX110" s="229">
        <f t="shared" si="67"/>
        <v>99</v>
      </c>
      <c r="AY110" s="229">
        <f t="shared" si="67"/>
        <v>99</v>
      </c>
      <c r="AZ110" s="225"/>
      <c r="BA110" s="225"/>
      <c r="BB110" s="225"/>
      <c r="BC110" s="225"/>
      <c r="BD110" s="225"/>
      <c r="BE110" s="225"/>
      <c r="BF110" s="225"/>
      <c r="BG110" s="225"/>
      <c r="BH110" s="225"/>
      <c r="BI110" s="225"/>
      <c r="BJ110" s="225"/>
      <c r="BK110" s="225"/>
      <c r="BL110" s="225"/>
      <c r="BM110" s="225"/>
      <c r="BN110" s="225"/>
      <c r="BO110" s="225"/>
      <c r="BP110" s="225"/>
      <c r="BQ110" s="225"/>
      <c r="BR110" s="225"/>
      <c r="BS110" s="225"/>
      <c r="BT110" s="225"/>
      <c r="BU110" s="225"/>
      <c r="BV110" s="225"/>
      <c r="BW110" s="225"/>
      <c r="BX110" s="225"/>
      <c r="BY110" s="225"/>
      <c r="BZ110" s="225"/>
    </row>
    <row r="111" spans="1:78">
      <c r="A111" s="138" t="s">
        <v>16</v>
      </c>
      <c r="B111" s="22" t="str">
        <f t="shared" ref="B111:B123" si="68">IF(A111="*","","COM_PROJ")</f>
        <v/>
      </c>
      <c r="C111" s="23" t="str">
        <f t="shared" ref="C111:C123" si="69">IF($A111="*","","-")</f>
        <v/>
      </c>
      <c r="D111" s="61" t="str">
        <f>ITEMS_TRA!C15</f>
        <v>TFLCV</v>
      </c>
      <c r="E111" s="23" t="str">
        <f t="shared" ref="E111:I123" si="70">IF($A111="*","","-")</f>
        <v/>
      </c>
      <c r="G111" s="23" t="str">
        <f t="shared" si="70"/>
        <v/>
      </c>
      <c r="H111" s="23" t="str">
        <f t="shared" si="70"/>
        <v/>
      </c>
      <c r="I111" s="23" t="str">
        <f t="shared" si="70"/>
        <v/>
      </c>
      <c r="J111" s="147" t="str">
        <f t="shared" ref="J111:J123" si="71">IF(A111="*","",0)</f>
        <v/>
      </c>
      <c r="K111" s="226">
        <f>INDEX('[3]TS BYDem'!J$10:J$59,MATCH($D111,'[3]TS BYDem'!D$10:D$59,0))</f>
        <v>43.11250375056882</v>
      </c>
      <c r="L111" s="226">
        <f t="shared" ref="L111:AY117" si="72">IF(L$110=-1,M111,IF(L$110=99,K111,IF(L$110=0,INDEX($F92:$L92,0,L$108),(INDEX($F92:$L92,0,L$110+1)-INDEX($F92:$L92,0,L$110))/(INDEX($F$4:$L$4,0,L$110+1)-INDEX($F$4:$L$4,0,L$110))+K111)))</f>
        <v>43.541669167045889</v>
      </c>
      <c r="M111" s="226">
        <f t="shared" si="72"/>
        <v>43.970834583522958</v>
      </c>
      <c r="N111" s="226">
        <f t="shared" si="72"/>
        <v>44.4</v>
      </c>
      <c r="O111" s="226">
        <f t="shared" si="72"/>
        <v>44.871410582810697</v>
      </c>
      <c r="P111" s="226">
        <f t="shared" si="72"/>
        <v>45.342821165621402</v>
      </c>
      <c r="Q111" s="226">
        <f t="shared" si="72"/>
        <v>44.791910090242503</v>
      </c>
      <c r="R111" s="226">
        <f t="shared" si="72"/>
        <v>44.240999014863604</v>
      </c>
      <c r="S111" s="226">
        <f t="shared" si="72"/>
        <v>43.690087939484705</v>
      </c>
      <c r="T111" s="226">
        <f t="shared" si="72"/>
        <v>44.469492732584818</v>
      </c>
      <c r="U111" s="226">
        <f t="shared" si="72"/>
        <v>45.248897525684932</v>
      </c>
      <c r="V111" s="226">
        <f t="shared" si="72"/>
        <v>46.028302318785045</v>
      </c>
      <c r="W111" s="226">
        <f t="shared" si="72"/>
        <v>46.807707111885158</v>
      </c>
      <c r="X111" s="226">
        <f t="shared" si="72"/>
        <v>47.587111904985271</v>
      </c>
      <c r="Y111" s="226">
        <f t="shared" si="72"/>
        <v>48.366516698085384</v>
      </c>
      <c r="Z111" s="226">
        <f t="shared" si="72"/>
        <v>49.145921491185497</v>
      </c>
      <c r="AA111" s="226">
        <f t="shared" si="72"/>
        <v>49.92532628428561</v>
      </c>
      <c r="AB111" s="226">
        <f t="shared" si="72"/>
        <v>50.704731077385723</v>
      </c>
      <c r="AC111" s="226">
        <f t="shared" si="72"/>
        <v>51.484135870485829</v>
      </c>
      <c r="AD111" s="226">
        <f t="shared" si="72"/>
        <v>52.778865712051854</v>
      </c>
      <c r="AE111" s="226">
        <f t="shared" si="72"/>
        <v>54.073595553617878</v>
      </c>
      <c r="AF111" s="226">
        <f t="shared" si="72"/>
        <v>55.368325395183902</v>
      </c>
      <c r="AG111" s="226">
        <f t="shared" si="72"/>
        <v>56.663055236749926</v>
      </c>
      <c r="AH111" s="226">
        <f t="shared" si="72"/>
        <v>57.95778507831595</v>
      </c>
      <c r="AI111" s="226">
        <f t="shared" si="72"/>
        <v>59.252514919881975</v>
      </c>
      <c r="AJ111" s="226">
        <f t="shared" si="72"/>
        <v>60.547244761447999</v>
      </c>
      <c r="AK111" s="226">
        <f t="shared" si="72"/>
        <v>61.841974603014023</v>
      </c>
      <c r="AL111" s="226">
        <f t="shared" si="72"/>
        <v>63.136704444580047</v>
      </c>
      <c r="AM111" s="226">
        <f t="shared" si="72"/>
        <v>64.431434286146057</v>
      </c>
      <c r="AN111" s="226">
        <f t="shared" si="72"/>
        <v>66.319917831640765</v>
      </c>
      <c r="AO111" s="226">
        <f t="shared" si="72"/>
        <v>68.208401377135473</v>
      </c>
      <c r="AP111" s="226">
        <f t="shared" si="72"/>
        <v>70.096884922630181</v>
      </c>
      <c r="AQ111" s="226">
        <f t="shared" si="72"/>
        <v>71.985368468124889</v>
      </c>
      <c r="AR111" s="226">
        <f t="shared" si="72"/>
        <v>73.873852013619597</v>
      </c>
      <c r="AS111" s="226">
        <f t="shared" si="72"/>
        <v>75.762335559114305</v>
      </c>
      <c r="AT111" s="226">
        <f t="shared" si="72"/>
        <v>77.650819104609013</v>
      </c>
      <c r="AU111" s="226">
        <f t="shared" si="72"/>
        <v>79.539302650103721</v>
      </c>
      <c r="AV111" s="226">
        <f t="shared" si="72"/>
        <v>81.427786195598429</v>
      </c>
      <c r="AW111" s="226">
        <f t="shared" si="72"/>
        <v>83.316269741093109</v>
      </c>
      <c r="AX111" s="226">
        <f t="shared" si="72"/>
        <v>83.316269741093109</v>
      </c>
      <c r="AY111" s="226">
        <f t="shared" si="72"/>
        <v>83.316269741093109</v>
      </c>
    </row>
    <row r="112" spans="1:78">
      <c r="A112" s="138" t="s">
        <v>16</v>
      </c>
      <c r="B112" s="22" t="str">
        <f t="shared" si="68"/>
        <v/>
      </c>
      <c r="C112" s="23" t="str">
        <f t="shared" si="69"/>
        <v/>
      </c>
      <c r="D112" s="61" t="str">
        <f>ITEMS_TRA!C16</f>
        <v>TFHCV1</v>
      </c>
      <c r="E112" s="23" t="str">
        <f t="shared" si="70"/>
        <v/>
      </c>
      <c r="G112" s="23" t="str">
        <f t="shared" si="70"/>
        <v/>
      </c>
      <c r="H112" s="23" t="str">
        <f t="shared" si="70"/>
        <v/>
      </c>
      <c r="I112" s="23" t="str">
        <f t="shared" si="70"/>
        <v/>
      </c>
      <c r="J112" s="147" t="str">
        <f t="shared" si="71"/>
        <v/>
      </c>
      <c r="K112" s="226">
        <f>INDEX('[3]TS BYDem'!J$10:J$59,MATCH($D112,'[3]TS BYDem'!D$10:D$59,0))</f>
        <v>3.310563752317667</v>
      </c>
      <c r="L112" s="226">
        <f t="shared" si="72"/>
        <v>3.3405637523176668</v>
      </c>
      <c r="M112" s="226">
        <f t="shared" si="72"/>
        <v>3.3705637523176666</v>
      </c>
      <c r="N112" s="226">
        <f>IF(N$110=-1,O112,IF(N$110=99,M112,IF(N$110=0,INDEX($F93:$L93,0,N$108),(INDEX($F93:$L93,0,N$110+1)-INDEX($F93:$L93,0,N$110))/(INDEX($F$4:$L$4,0,N$110+1)-INDEX($F$4:$L$4,0,N$110))+M112)))</f>
        <v>3.4</v>
      </c>
      <c r="O112" s="226">
        <f t="shared" si="72"/>
        <v>3.4249999999999998</v>
      </c>
      <c r="P112" s="226">
        <f t="shared" si="72"/>
        <v>3.45</v>
      </c>
      <c r="Q112" s="226">
        <f t="shared" si="72"/>
        <v>3.4181148429418728</v>
      </c>
      <c r="R112" s="226">
        <f t="shared" si="72"/>
        <v>3.3862296858837455</v>
      </c>
      <c r="S112" s="226">
        <f t="shared" si="72"/>
        <v>3.3543445288256182</v>
      </c>
      <c r="T112" s="226">
        <f t="shared" si="72"/>
        <v>3.4141840101994489</v>
      </c>
      <c r="U112" s="226">
        <f t="shared" si="72"/>
        <v>3.4740234915732797</v>
      </c>
      <c r="V112" s="226">
        <f t="shared" si="72"/>
        <v>3.5338629729471105</v>
      </c>
      <c r="W112" s="226">
        <f t="shared" si="72"/>
        <v>3.5937024543209413</v>
      </c>
      <c r="X112" s="226">
        <f t="shared" si="72"/>
        <v>3.653541935694772</v>
      </c>
      <c r="Y112" s="226">
        <f t="shared" si="72"/>
        <v>3.7133814170686028</v>
      </c>
      <c r="Z112" s="226">
        <f t="shared" si="72"/>
        <v>3.7732208984424336</v>
      </c>
      <c r="AA112" s="226">
        <f t="shared" si="72"/>
        <v>3.8330603798162644</v>
      </c>
      <c r="AB112" s="226">
        <f t="shared" si="72"/>
        <v>3.8928998611900951</v>
      </c>
      <c r="AC112" s="226">
        <f t="shared" si="72"/>
        <v>3.9527393425639255</v>
      </c>
      <c r="AD112" s="226">
        <f t="shared" si="72"/>
        <v>4.0521433530657971</v>
      </c>
      <c r="AE112" s="226">
        <f t="shared" si="72"/>
        <v>4.1515473635676692</v>
      </c>
      <c r="AF112" s="226">
        <f t="shared" si="72"/>
        <v>4.2509513740695413</v>
      </c>
      <c r="AG112" s="226">
        <f t="shared" si="72"/>
        <v>4.3503553845714134</v>
      </c>
      <c r="AH112" s="226">
        <f t="shared" si="72"/>
        <v>4.4497593950732854</v>
      </c>
      <c r="AI112" s="226">
        <f t="shared" si="72"/>
        <v>4.5491634055751575</v>
      </c>
      <c r="AJ112" s="226">
        <f t="shared" si="72"/>
        <v>4.6485674160770296</v>
      </c>
      <c r="AK112" s="226">
        <f t="shared" si="72"/>
        <v>4.7479714265789017</v>
      </c>
      <c r="AL112" s="226">
        <f t="shared" si="72"/>
        <v>4.8473754370807738</v>
      </c>
      <c r="AM112" s="226">
        <f t="shared" si="72"/>
        <v>4.946779447582645</v>
      </c>
      <c r="AN112" s="226">
        <f t="shared" si="72"/>
        <v>5.0917694154989714</v>
      </c>
      <c r="AO112" s="226">
        <f t="shared" si="72"/>
        <v>5.2367593834152979</v>
      </c>
      <c r="AP112" s="226">
        <f t="shared" si="72"/>
        <v>5.3817493513316244</v>
      </c>
      <c r="AQ112" s="226">
        <f t="shared" si="72"/>
        <v>5.5267393192479508</v>
      </c>
      <c r="AR112" s="226">
        <f t="shared" si="72"/>
        <v>5.6717292871642773</v>
      </c>
      <c r="AS112" s="226">
        <f t="shared" si="72"/>
        <v>5.8167192550806037</v>
      </c>
      <c r="AT112" s="226">
        <f t="shared" si="72"/>
        <v>5.9617092229969302</v>
      </c>
      <c r="AU112" s="226">
        <f t="shared" si="72"/>
        <v>6.1066991909132566</v>
      </c>
      <c r="AV112" s="226">
        <f t="shared" si="72"/>
        <v>6.2516891588295831</v>
      </c>
      <c r="AW112" s="226">
        <f t="shared" si="72"/>
        <v>6.3966791267459095</v>
      </c>
      <c r="AX112" s="226">
        <f t="shared" si="72"/>
        <v>6.3966791267459095</v>
      </c>
      <c r="AY112" s="226">
        <f t="shared" si="72"/>
        <v>6.3966791267459095</v>
      </c>
    </row>
    <row r="113" spans="1:78">
      <c r="A113" s="138" t="s">
        <v>16</v>
      </c>
      <c r="B113" s="22" t="str">
        <f t="shared" si="68"/>
        <v/>
      </c>
      <c r="C113" s="23" t="str">
        <f t="shared" si="69"/>
        <v/>
      </c>
      <c r="D113" s="61" t="str">
        <f>ITEMS_TRA!C17</f>
        <v>TFHCV2</v>
      </c>
      <c r="E113" s="23" t="str">
        <f t="shared" si="70"/>
        <v/>
      </c>
      <c r="G113" s="23" t="str">
        <f t="shared" si="70"/>
        <v/>
      </c>
      <c r="H113" s="23" t="str">
        <f t="shared" si="70"/>
        <v/>
      </c>
      <c r="I113" s="23" t="str">
        <f t="shared" si="70"/>
        <v/>
      </c>
      <c r="J113" s="147" t="str">
        <f t="shared" si="71"/>
        <v/>
      </c>
      <c r="K113" s="226">
        <f>INDEX('[3]TS BYDem'!J$10:J$59,MATCH($D113,'[3]TS BYDem'!D$10:D$59,0))</f>
        <v>0.6547839540708813</v>
      </c>
      <c r="L113" s="226">
        <f t="shared" si="72"/>
        <v>0.67123078144835724</v>
      </c>
      <c r="M113" s="226">
        <f t="shared" si="72"/>
        <v>0.68767760882583318</v>
      </c>
      <c r="N113" s="226">
        <f t="shared" si="72"/>
        <v>0.704124436203308</v>
      </c>
      <c r="O113" s="226">
        <f t="shared" si="72"/>
        <v>0.72006693722491655</v>
      </c>
      <c r="P113" s="226">
        <f t="shared" si="72"/>
        <v>0.73600943824652509</v>
      </c>
      <c r="Q113" s="226">
        <f t="shared" si="72"/>
        <v>0.71185835398715591</v>
      </c>
      <c r="R113" s="226">
        <f t="shared" si="72"/>
        <v>0.68770726972778673</v>
      </c>
      <c r="S113" s="226">
        <f t="shared" si="72"/>
        <v>0.66355618546841744</v>
      </c>
      <c r="T113" s="226">
        <f t="shared" si="72"/>
        <v>0.67539362722778529</v>
      </c>
      <c r="U113" s="226">
        <f t="shared" si="72"/>
        <v>0.68723106898715314</v>
      </c>
      <c r="V113" s="226">
        <f t="shared" si="72"/>
        <v>0.69906851074652099</v>
      </c>
      <c r="W113" s="226">
        <f t="shared" si="72"/>
        <v>0.71090595250588884</v>
      </c>
      <c r="X113" s="226">
        <f t="shared" si="72"/>
        <v>0.72274339426525669</v>
      </c>
      <c r="Y113" s="226">
        <f t="shared" si="72"/>
        <v>0.73458083602462454</v>
      </c>
      <c r="Z113" s="226">
        <f t="shared" si="72"/>
        <v>0.74641827778399239</v>
      </c>
      <c r="AA113" s="226">
        <f t="shared" si="72"/>
        <v>0.75825571954336024</v>
      </c>
      <c r="AB113" s="226">
        <f t="shared" si="72"/>
        <v>0.77009316130272809</v>
      </c>
      <c r="AC113" s="226">
        <f t="shared" si="72"/>
        <v>0.78193060306209605</v>
      </c>
      <c r="AD113" s="226">
        <f t="shared" si="72"/>
        <v>0.8015946970339749</v>
      </c>
      <c r="AE113" s="226">
        <f t="shared" si="72"/>
        <v>0.82125879100585375</v>
      </c>
      <c r="AF113" s="226">
        <f t="shared" si="72"/>
        <v>0.8409228849777326</v>
      </c>
      <c r="AG113" s="226">
        <f t="shared" si="72"/>
        <v>0.86058697894961145</v>
      </c>
      <c r="AH113" s="226">
        <f t="shared" si="72"/>
        <v>0.8802510729214903</v>
      </c>
      <c r="AI113" s="226">
        <f t="shared" si="72"/>
        <v>0.89991516689336915</v>
      </c>
      <c r="AJ113" s="226">
        <f t="shared" si="72"/>
        <v>0.91957926086524799</v>
      </c>
      <c r="AK113" s="226">
        <f t="shared" si="72"/>
        <v>0.93924335483712684</v>
      </c>
      <c r="AL113" s="226">
        <f t="shared" si="72"/>
        <v>0.95890744880900569</v>
      </c>
      <c r="AM113" s="226">
        <f t="shared" si="72"/>
        <v>0.97857154278088487</v>
      </c>
      <c r="AN113" s="226">
        <f t="shared" si="72"/>
        <v>1.0072534474615078</v>
      </c>
      <c r="AO113" s="226">
        <f t="shared" si="72"/>
        <v>1.0359353521421308</v>
      </c>
      <c r="AP113" s="226">
        <f t="shared" si="72"/>
        <v>1.0646172568227539</v>
      </c>
      <c r="AQ113" s="226">
        <f t="shared" si="72"/>
        <v>1.0932991615033769</v>
      </c>
      <c r="AR113" s="226">
        <f t="shared" si="72"/>
        <v>1.121981066184</v>
      </c>
      <c r="AS113" s="226">
        <f t="shared" si="72"/>
        <v>1.150662970864623</v>
      </c>
      <c r="AT113" s="226">
        <f t="shared" si="72"/>
        <v>1.179344875545246</v>
      </c>
      <c r="AU113" s="226">
        <f t="shared" si="72"/>
        <v>1.2080267802258691</v>
      </c>
      <c r="AV113" s="226">
        <f t="shared" si="72"/>
        <v>1.2367086849064921</v>
      </c>
      <c r="AW113" s="226">
        <f t="shared" si="72"/>
        <v>1.2653905895871151</v>
      </c>
      <c r="AX113" s="226">
        <f t="shared" si="72"/>
        <v>1.2653905895871151</v>
      </c>
      <c r="AY113" s="226">
        <f t="shared" si="72"/>
        <v>1.2653905895871151</v>
      </c>
    </row>
    <row r="114" spans="1:78">
      <c r="A114" s="138" t="s">
        <v>16</v>
      </c>
      <c r="B114" s="22" t="str">
        <f t="shared" si="68"/>
        <v/>
      </c>
      <c r="C114" s="23" t="str">
        <f t="shared" si="69"/>
        <v/>
      </c>
      <c r="D114" s="61" t="str">
        <f>ITEMS_TRA!C18</f>
        <v>TFHCV3</v>
      </c>
      <c r="E114" s="23" t="str">
        <f t="shared" si="70"/>
        <v/>
      </c>
      <c r="G114" s="23" t="str">
        <f t="shared" si="70"/>
        <v/>
      </c>
      <c r="H114" s="23" t="str">
        <f t="shared" si="70"/>
        <v/>
      </c>
      <c r="I114" s="23" t="str">
        <f t="shared" si="70"/>
        <v/>
      </c>
      <c r="J114" s="147" t="str">
        <f t="shared" si="71"/>
        <v/>
      </c>
      <c r="K114" s="226">
        <f>INDEX('[3]TS BYDem'!J$10:J$59,MATCH($D114,'[3]TS BYDem'!D$10:D$59,0))</f>
        <v>2.7114063478211388</v>
      </c>
      <c r="L114" s="226">
        <f t="shared" si="72"/>
        <v>2.7742708985474289</v>
      </c>
      <c r="M114" s="226">
        <f t="shared" si="72"/>
        <v>2.8371354492737191</v>
      </c>
      <c r="N114" s="226">
        <f t="shared" si="72"/>
        <v>2.9</v>
      </c>
      <c r="O114" s="226">
        <f t="shared" si="72"/>
        <v>2.9652984627095749</v>
      </c>
      <c r="P114" s="226">
        <f t="shared" si="72"/>
        <v>3.0305969254191498</v>
      </c>
      <c r="Q114" s="226">
        <f t="shared" si="72"/>
        <v>2.9363084284503151</v>
      </c>
      <c r="R114" s="226">
        <f t="shared" si="72"/>
        <v>2.8420199314814805</v>
      </c>
      <c r="S114" s="226">
        <f t="shared" si="72"/>
        <v>2.7477314345126458</v>
      </c>
      <c r="T114" s="226">
        <f t="shared" si="72"/>
        <v>2.7967493044967333</v>
      </c>
      <c r="U114" s="226">
        <f t="shared" si="72"/>
        <v>2.8457671744808208</v>
      </c>
      <c r="V114" s="226">
        <f t="shared" si="72"/>
        <v>2.8947850444649084</v>
      </c>
      <c r="W114" s="226">
        <f t="shared" si="72"/>
        <v>2.9438029144489959</v>
      </c>
      <c r="X114" s="226">
        <f t="shared" si="72"/>
        <v>2.9928207844330834</v>
      </c>
      <c r="Y114" s="226">
        <f t="shared" si="72"/>
        <v>3.0418386544171709</v>
      </c>
      <c r="Z114" s="226">
        <f t="shared" si="72"/>
        <v>3.0908565244012585</v>
      </c>
      <c r="AA114" s="226">
        <f t="shared" si="72"/>
        <v>3.139874394385346</v>
      </c>
      <c r="AB114" s="226">
        <f t="shared" si="72"/>
        <v>3.1888922643694335</v>
      </c>
      <c r="AC114" s="226">
        <f t="shared" si="72"/>
        <v>3.2379101343535193</v>
      </c>
      <c r="AD114" s="226">
        <f t="shared" si="72"/>
        <v>3.3193375256144417</v>
      </c>
      <c r="AE114" s="226">
        <f t="shared" si="72"/>
        <v>3.4007649168753646</v>
      </c>
      <c r="AF114" s="226">
        <f t="shared" si="72"/>
        <v>3.4821923081362876</v>
      </c>
      <c r="AG114" s="226">
        <f t="shared" si="72"/>
        <v>3.5636196993972105</v>
      </c>
      <c r="AH114" s="226">
        <f t="shared" si="72"/>
        <v>3.6450470906581334</v>
      </c>
      <c r="AI114" s="226">
        <f t="shared" si="72"/>
        <v>3.7264744819190563</v>
      </c>
      <c r="AJ114" s="226">
        <f t="shared" si="72"/>
        <v>3.8079018731799792</v>
      </c>
      <c r="AK114" s="226">
        <f t="shared" si="72"/>
        <v>3.8893292644409021</v>
      </c>
      <c r="AL114" s="226">
        <f t="shared" si="72"/>
        <v>3.970756655701825</v>
      </c>
      <c r="AM114" s="226">
        <f t="shared" si="72"/>
        <v>4.0521840469627461</v>
      </c>
      <c r="AN114" s="226">
        <f t="shared" si="72"/>
        <v>4.170953448587734</v>
      </c>
      <c r="AO114" s="226">
        <f t="shared" si="72"/>
        <v>4.2897228502127218</v>
      </c>
      <c r="AP114" s="226">
        <f t="shared" si="72"/>
        <v>4.4084922518377097</v>
      </c>
      <c r="AQ114" s="226">
        <f t="shared" si="72"/>
        <v>4.5272616534626975</v>
      </c>
      <c r="AR114" s="226">
        <f t="shared" si="72"/>
        <v>4.6460310550876853</v>
      </c>
      <c r="AS114" s="226">
        <f t="shared" si="72"/>
        <v>4.7648004567126732</v>
      </c>
      <c r="AT114" s="226">
        <f t="shared" si="72"/>
        <v>4.883569858337661</v>
      </c>
      <c r="AU114" s="226">
        <f t="shared" si="72"/>
        <v>5.0023392599626488</v>
      </c>
      <c r="AV114" s="226">
        <f t="shared" si="72"/>
        <v>5.1211086615876367</v>
      </c>
      <c r="AW114" s="226">
        <f t="shared" si="72"/>
        <v>5.2398780632126236</v>
      </c>
      <c r="AX114" s="226">
        <f t="shared" si="72"/>
        <v>5.2398780632126236</v>
      </c>
      <c r="AY114" s="226">
        <f t="shared" si="72"/>
        <v>5.2398780632126236</v>
      </c>
    </row>
    <row r="115" spans="1:78">
      <c r="A115" s="138" t="s">
        <v>16</v>
      </c>
      <c r="B115" s="22" t="str">
        <f t="shared" si="68"/>
        <v/>
      </c>
      <c r="C115" s="23" t="str">
        <f t="shared" si="69"/>
        <v/>
      </c>
      <c r="D115" s="61" t="str">
        <f>ITEMS_TRA!C19</f>
        <v>TFHCV4</v>
      </c>
      <c r="E115" s="23" t="str">
        <f t="shared" si="70"/>
        <v/>
      </c>
      <c r="G115" s="23" t="str">
        <f t="shared" si="70"/>
        <v/>
      </c>
      <c r="H115" s="23" t="str">
        <f t="shared" si="70"/>
        <v/>
      </c>
      <c r="I115" s="23" t="str">
        <f t="shared" si="70"/>
        <v/>
      </c>
      <c r="J115" s="147" t="str">
        <f t="shared" si="71"/>
        <v/>
      </c>
      <c r="K115" s="226">
        <f>INDEX('[3]TS BYDem'!J$10:J$59,MATCH($D115,'[3]TS BYDem'!D$10:D$59,0))</f>
        <v>0.57023972229676956</v>
      </c>
      <c r="L115" s="226">
        <f t="shared" si="72"/>
        <v>0.55900373411704862</v>
      </c>
      <c r="M115" s="226">
        <f t="shared" si="72"/>
        <v>0.54776774593732769</v>
      </c>
      <c r="N115" s="226">
        <f t="shared" si="72"/>
        <v>0.53653175775760331</v>
      </c>
      <c r="O115" s="226">
        <f t="shared" si="72"/>
        <v>0.54016937887880168</v>
      </c>
      <c r="P115" s="226">
        <f t="shared" si="72"/>
        <v>0.54380700000000004</v>
      </c>
      <c r="Q115" s="226">
        <f t="shared" si="72"/>
        <v>0.55516443430062412</v>
      </c>
      <c r="R115" s="226">
        <f t="shared" si="72"/>
        <v>0.5665218686012482</v>
      </c>
      <c r="S115" s="226">
        <f t="shared" si="72"/>
        <v>0.57787930290187217</v>
      </c>
      <c r="T115" s="226">
        <f t="shared" si="72"/>
        <v>0.58818832079945393</v>
      </c>
      <c r="U115" s="226">
        <f t="shared" si="72"/>
        <v>0.5984973386970357</v>
      </c>
      <c r="V115" s="226">
        <f t="shared" si="72"/>
        <v>0.60880635659461746</v>
      </c>
      <c r="W115" s="226">
        <f t="shared" si="72"/>
        <v>0.61911537449219922</v>
      </c>
      <c r="X115" s="226">
        <f t="shared" si="72"/>
        <v>0.62942439238978098</v>
      </c>
      <c r="Y115" s="226">
        <f t="shared" si="72"/>
        <v>0.63973341028736275</v>
      </c>
      <c r="Z115" s="226">
        <f t="shared" si="72"/>
        <v>0.65004242818494451</v>
      </c>
      <c r="AA115" s="226">
        <f t="shared" si="72"/>
        <v>0.66035144608252627</v>
      </c>
      <c r="AB115" s="226">
        <f t="shared" si="72"/>
        <v>0.67066046398010803</v>
      </c>
      <c r="AC115" s="226">
        <f t="shared" si="72"/>
        <v>0.68096948187769013</v>
      </c>
      <c r="AD115" s="226">
        <f t="shared" si="72"/>
        <v>0.69809459225345216</v>
      </c>
      <c r="AE115" s="226">
        <f t="shared" si="72"/>
        <v>0.71521970262921419</v>
      </c>
      <c r="AF115" s="226">
        <f t="shared" si="72"/>
        <v>0.73234481300497623</v>
      </c>
      <c r="AG115" s="226">
        <f t="shared" si="72"/>
        <v>0.74946992338073826</v>
      </c>
      <c r="AH115" s="226">
        <f t="shared" si="72"/>
        <v>0.76659503375650029</v>
      </c>
      <c r="AI115" s="226">
        <f t="shared" si="72"/>
        <v>0.78372014413226232</v>
      </c>
      <c r="AJ115" s="226">
        <f t="shared" si="72"/>
        <v>0.80084525450802435</v>
      </c>
      <c r="AK115" s="226">
        <f t="shared" si="72"/>
        <v>0.81797036488378638</v>
      </c>
      <c r="AL115" s="226">
        <f t="shared" si="72"/>
        <v>0.83509547525954841</v>
      </c>
      <c r="AM115" s="226">
        <f t="shared" si="72"/>
        <v>0.85222058563531033</v>
      </c>
      <c r="AN115" s="226">
        <f t="shared" si="72"/>
        <v>0.87719914727894266</v>
      </c>
      <c r="AO115" s="226">
        <f t="shared" si="72"/>
        <v>0.90217770892257498</v>
      </c>
      <c r="AP115" s="226">
        <f t="shared" si="72"/>
        <v>0.92715627056620731</v>
      </c>
      <c r="AQ115" s="226">
        <f t="shared" si="72"/>
        <v>0.95213483220983963</v>
      </c>
      <c r="AR115" s="226">
        <f t="shared" si="72"/>
        <v>0.97711339385347196</v>
      </c>
      <c r="AS115" s="226">
        <f t="shared" si="72"/>
        <v>1.0020919554971044</v>
      </c>
      <c r="AT115" s="226">
        <f t="shared" si="72"/>
        <v>1.0270705171407368</v>
      </c>
      <c r="AU115" s="226">
        <f t="shared" si="72"/>
        <v>1.0520490787843693</v>
      </c>
      <c r="AV115" s="226">
        <f t="shared" si="72"/>
        <v>1.0770276404280017</v>
      </c>
      <c r="AW115" s="226">
        <f t="shared" si="72"/>
        <v>1.1020062020716337</v>
      </c>
      <c r="AX115" s="226">
        <f t="shared" si="72"/>
        <v>1.1020062020716337</v>
      </c>
      <c r="AY115" s="226">
        <f t="shared" si="72"/>
        <v>1.1020062020716337</v>
      </c>
    </row>
    <row r="116" spans="1:78">
      <c r="A116" s="138" t="s">
        <v>16</v>
      </c>
      <c r="B116" s="22" t="str">
        <f t="shared" si="68"/>
        <v/>
      </c>
      <c r="C116" s="23" t="str">
        <f t="shared" si="69"/>
        <v/>
      </c>
      <c r="D116" s="61" t="str">
        <f>ITEMS_TRA!C20</f>
        <v>TFHCV5</v>
      </c>
      <c r="E116" s="23" t="str">
        <f t="shared" si="70"/>
        <v/>
      </c>
      <c r="G116" s="23" t="str">
        <f t="shared" si="70"/>
        <v/>
      </c>
      <c r="H116" s="23" t="str">
        <f t="shared" si="70"/>
        <v/>
      </c>
      <c r="I116" s="23" t="str">
        <f t="shared" si="70"/>
        <v/>
      </c>
      <c r="J116" s="147" t="str">
        <f t="shared" si="71"/>
        <v/>
      </c>
      <c r="K116" s="226">
        <f>INDEX('[3]TS BYDem'!J$10:J$59,MATCH($D116,'[3]TS BYDem'!D$10:D$59,0))</f>
        <v>0.27326501935541331</v>
      </c>
      <c r="L116" s="226">
        <f t="shared" si="72"/>
        <v>0.27740453823694228</v>
      </c>
      <c r="M116" s="226">
        <f t="shared" si="72"/>
        <v>0.28154405711847125</v>
      </c>
      <c r="N116" s="226">
        <f t="shared" si="72"/>
        <v>0.28568357599999999</v>
      </c>
      <c r="O116" s="226">
        <f t="shared" si="72"/>
        <v>0.2876204765</v>
      </c>
      <c r="P116" s="226">
        <f t="shared" si="72"/>
        <v>0.289557377</v>
      </c>
      <c r="Q116" s="226">
        <f t="shared" si="72"/>
        <v>0.28534691423305703</v>
      </c>
      <c r="R116" s="226">
        <f t="shared" si="72"/>
        <v>0.28113645146611405</v>
      </c>
      <c r="S116" s="226">
        <f t="shared" si="72"/>
        <v>0.27692598869917107</v>
      </c>
      <c r="T116" s="226">
        <f t="shared" si="72"/>
        <v>0.28186618115712808</v>
      </c>
      <c r="U116" s="226">
        <f t="shared" si="72"/>
        <v>0.2868063736150851</v>
      </c>
      <c r="V116" s="226">
        <f t="shared" si="72"/>
        <v>0.29174656607304211</v>
      </c>
      <c r="W116" s="226">
        <f t="shared" si="72"/>
        <v>0.29668675853099913</v>
      </c>
      <c r="X116" s="226">
        <f t="shared" si="72"/>
        <v>0.30162695098895614</v>
      </c>
      <c r="Y116" s="226">
        <f t="shared" si="72"/>
        <v>0.30656714344691316</v>
      </c>
      <c r="Z116" s="226">
        <f t="shared" si="72"/>
        <v>0.31150733590487018</v>
      </c>
      <c r="AA116" s="226">
        <f t="shared" si="72"/>
        <v>0.31644752836282719</v>
      </c>
      <c r="AB116" s="226">
        <f t="shared" si="72"/>
        <v>0.32138772082078421</v>
      </c>
      <c r="AC116" s="226">
        <f t="shared" si="72"/>
        <v>0.32632791327874133</v>
      </c>
      <c r="AD116" s="226">
        <f t="shared" si="72"/>
        <v>0.33453445069680771</v>
      </c>
      <c r="AE116" s="226">
        <f t="shared" si="72"/>
        <v>0.34274098811487408</v>
      </c>
      <c r="AF116" s="226">
        <f t="shared" si="72"/>
        <v>0.35094752553294045</v>
      </c>
      <c r="AG116" s="226">
        <f t="shared" si="72"/>
        <v>0.35915406295100682</v>
      </c>
      <c r="AH116" s="226">
        <f t="shared" si="72"/>
        <v>0.3673606003690732</v>
      </c>
      <c r="AI116" s="226">
        <f t="shared" si="72"/>
        <v>0.37556713778713957</v>
      </c>
      <c r="AJ116" s="226">
        <f t="shared" si="72"/>
        <v>0.38377367520520594</v>
      </c>
      <c r="AK116" s="226">
        <f t="shared" si="72"/>
        <v>0.39198021262327232</v>
      </c>
      <c r="AL116" s="226">
        <f t="shared" si="72"/>
        <v>0.40018675004133869</v>
      </c>
      <c r="AM116" s="226">
        <f t="shared" si="72"/>
        <v>0.40839328745940517</v>
      </c>
      <c r="AN116" s="226">
        <f t="shared" si="72"/>
        <v>0.42036328334731926</v>
      </c>
      <c r="AO116" s="226">
        <f t="shared" si="72"/>
        <v>0.43233327923523335</v>
      </c>
      <c r="AP116" s="226">
        <f t="shared" si="72"/>
        <v>0.44430327512314743</v>
      </c>
      <c r="AQ116" s="226">
        <f t="shared" si="72"/>
        <v>0.45627327101106152</v>
      </c>
      <c r="AR116" s="226">
        <f t="shared" si="72"/>
        <v>0.46824326689897561</v>
      </c>
      <c r="AS116" s="226">
        <f t="shared" si="72"/>
        <v>0.48021326278688969</v>
      </c>
      <c r="AT116" s="226">
        <f t="shared" si="72"/>
        <v>0.49218325867480378</v>
      </c>
      <c r="AU116" s="226">
        <f t="shared" si="72"/>
        <v>0.50415325456271787</v>
      </c>
      <c r="AV116" s="226">
        <f t="shared" si="72"/>
        <v>0.51612325045063201</v>
      </c>
      <c r="AW116" s="226">
        <f t="shared" si="72"/>
        <v>0.52809324633854615</v>
      </c>
      <c r="AX116" s="226">
        <f t="shared" si="72"/>
        <v>0.52809324633854615</v>
      </c>
      <c r="AY116" s="226">
        <f t="shared" si="72"/>
        <v>0.52809324633854615</v>
      </c>
    </row>
    <row r="117" spans="1:78">
      <c r="A117" s="138" t="s">
        <v>16</v>
      </c>
      <c r="B117" s="22" t="str">
        <f t="shared" si="68"/>
        <v/>
      </c>
      <c r="C117" s="23" t="str">
        <f t="shared" si="69"/>
        <v/>
      </c>
      <c r="D117" s="61" t="str">
        <f>ITEMS_TRA!C21</f>
        <v>TFHCV6</v>
      </c>
      <c r="E117" s="23" t="str">
        <f t="shared" si="70"/>
        <v/>
      </c>
      <c r="G117" s="23" t="str">
        <f t="shared" si="70"/>
        <v/>
      </c>
      <c r="H117" s="23" t="str">
        <f t="shared" si="70"/>
        <v/>
      </c>
      <c r="I117" s="23" t="str">
        <f t="shared" si="70"/>
        <v/>
      </c>
      <c r="J117" s="147" t="str">
        <f t="shared" si="71"/>
        <v/>
      </c>
      <c r="K117" s="226">
        <f>INDEX('[3]TS BYDem'!J$10:J$59,MATCH($D117,'[3]TS BYDem'!D$10:D$59,0))</f>
        <v>5.0361375113209643</v>
      </c>
      <c r="L117" s="226">
        <f t="shared" si="72"/>
        <v>5.3607583408806443</v>
      </c>
      <c r="M117" s="226">
        <f t="shared" si="72"/>
        <v>5.6853791704403243</v>
      </c>
      <c r="N117" s="226">
        <f t="shared" si="72"/>
        <v>6.01</v>
      </c>
      <c r="O117" s="226">
        <f t="shared" si="72"/>
        <v>6.3253919226144593</v>
      </c>
      <c r="P117" s="226">
        <f t="shared" si="72"/>
        <v>6.6407838452289196</v>
      </c>
      <c r="Q117" s="226">
        <f t="shared" si="72"/>
        <v>6.1283916780391117</v>
      </c>
      <c r="R117" s="226">
        <f t="shared" si="72"/>
        <v>5.6159995108493037</v>
      </c>
      <c r="S117" s="226">
        <f t="shared" si="72"/>
        <v>5.1036073436594949</v>
      </c>
      <c r="T117" s="226">
        <f t="shared" si="72"/>
        <v>5.1946526176186314</v>
      </c>
      <c r="U117" s="226">
        <f t="shared" si="72"/>
        <v>5.2856978915777679</v>
      </c>
      <c r="V117" s="226">
        <f t="shared" si="72"/>
        <v>5.3767431655369045</v>
      </c>
      <c r="W117" s="226">
        <f t="shared" si="72"/>
        <v>5.467788439496041</v>
      </c>
      <c r="X117" s="226">
        <f t="shared" si="72"/>
        <v>5.5588337134551775</v>
      </c>
      <c r="Y117" s="226">
        <f t="shared" si="72"/>
        <v>5.649878987414314</v>
      </c>
      <c r="Z117" s="226">
        <f t="shared" si="72"/>
        <v>5.7409242613734506</v>
      </c>
      <c r="AA117" s="226">
        <f t="shared" si="72"/>
        <v>5.8319695353325871</v>
      </c>
      <c r="AB117" s="226">
        <f t="shared" ref="AB117:AY117" si="73">IF(AB$110=-1,AC117,IF(AB$110=99,AA117,IF(AB$110=0,INDEX($F98:$L98,0,AB$108),(INDEX($F98:$L98,0,AB$110+1)-INDEX($F98:$L98,0,AB$110))/(INDEX($F$4:$L$4,0,AB$110+1)-INDEX($F$4:$L$4,0,AB$110))+AA117)))</f>
        <v>5.9230148092917236</v>
      </c>
      <c r="AC117" s="226">
        <f t="shared" si="73"/>
        <v>6.0140600832508566</v>
      </c>
      <c r="AD117" s="226">
        <f t="shared" si="73"/>
        <v>6.1653024597053037</v>
      </c>
      <c r="AE117" s="226">
        <f t="shared" si="73"/>
        <v>6.3165448361597507</v>
      </c>
      <c r="AF117" s="226">
        <f t="shared" si="73"/>
        <v>6.4677872126141978</v>
      </c>
      <c r="AG117" s="226">
        <f t="shared" si="73"/>
        <v>6.6190295890686448</v>
      </c>
      <c r="AH117" s="226">
        <f t="shared" si="73"/>
        <v>6.7702719655230919</v>
      </c>
      <c r="AI117" s="226">
        <f t="shared" si="73"/>
        <v>6.9215143419775389</v>
      </c>
      <c r="AJ117" s="226">
        <f t="shared" si="73"/>
        <v>7.0727567184319859</v>
      </c>
      <c r="AK117" s="226">
        <f t="shared" si="73"/>
        <v>7.223999094886433</v>
      </c>
      <c r="AL117" s="226">
        <f t="shared" si="73"/>
        <v>7.37524147134088</v>
      </c>
      <c r="AM117" s="226">
        <f t="shared" si="73"/>
        <v>7.5264838477953289</v>
      </c>
      <c r="AN117" s="226">
        <f t="shared" si="73"/>
        <v>7.7470848798764873</v>
      </c>
      <c r="AO117" s="226">
        <f t="shared" si="73"/>
        <v>7.9676859119576458</v>
      </c>
      <c r="AP117" s="226">
        <f t="shared" si="73"/>
        <v>8.1882869440388042</v>
      </c>
      <c r="AQ117" s="226">
        <f t="shared" si="73"/>
        <v>8.4088879761199617</v>
      </c>
      <c r="AR117" s="226">
        <f t="shared" si="73"/>
        <v>8.6294890082011193</v>
      </c>
      <c r="AS117" s="226">
        <f t="shared" si="73"/>
        <v>8.8500900402822769</v>
      </c>
      <c r="AT117" s="226">
        <f t="shared" si="73"/>
        <v>9.0706910723634344</v>
      </c>
      <c r="AU117" s="226">
        <f t="shared" si="73"/>
        <v>9.291292104444592</v>
      </c>
      <c r="AV117" s="226">
        <f t="shared" si="73"/>
        <v>9.5118931365257495</v>
      </c>
      <c r="AW117" s="226">
        <f t="shared" si="73"/>
        <v>9.7324941686069124</v>
      </c>
      <c r="AX117" s="226">
        <f t="shared" si="73"/>
        <v>9.7324941686069124</v>
      </c>
      <c r="AY117" s="226">
        <f t="shared" si="73"/>
        <v>9.7324941686069124</v>
      </c>
    </row>
    <row r="118" spans="1:78">
      <c r="A118" s="138" t="s">
        <v>16</v>
      </c>
      <c r="B118" s="22" t="str">
        <f t="shared" si="68"/>
        <v/>
      </c>
      <c r="C118" s="23" t="str">
        <f t="shared" si="69"/>
        <v/>
      </c>
      <c r="D118" s="61" t="str">
        <f>ITEMS_TRA!C22</f>
        <v>TFHCV7</v>
      </c>
      <c r="E118" s="23" t="str">
        <f t="shared" si="70"/>
        <v/>
      </c>
      <c r="G118" s="23" t="str">
        <f t="shared" si="70"/>
        <v/>
      </c>
      <c r="H118" s="23" t="str">
        <f t="shared" si="70"/>
        <v/>
      </c>
      <c r="I118" s="23" t="str">
        <f t="shared" si="70"/>
        <v/>
      </c>
      <c r="J118" s="147" t="str">
        <f t="shared" si="71"/>
        <v/>
      </c>
      <c r="K118" s="226">
        <f>INDEX('[3]TS BYDem'!J$10:J$59,MATCH($D118,'[3]TS BYDem'!D$10:D$59,0))</f>
        <v>1.5653068685251963</v>
      </c>
      <c r="L118" s="226">
        <f t="shared" ref="L118:AY123" si="74">IF(L$110=-1,M118,IF(L$110=99,K118,IF(L$110=0,INDEX($F99:$L99,0,L$108),(INDEX($F99:$L99,0,L$110+1)-INDEX($F99:$L99,0,L$110))/(INDEX($F$4:$L$4,0,L$110+1)-INDEX($F$4:$L$4,0,L$110))+K118)))</f>
        <v>1.6102045790167996</v>
      </c>
      <c r="M118" s="226">
        <f t="shared" si="74"/>
        <v>1.6551022895084029</v>
      </c>
      <c r="N118" s="226">
        <f t="shared" si="74"/>
        <v>1.7</v>
      </c>
      <c r="O118" s="226">
        <f t="shared" si="74"/>
        <v>1.74</v>
      </c>
      <c r="P118" s="226">
        <f t="shared" si="74"/>
        <v>1.78</v>
      </c>
      <c r="Q118" s="226">
        <f t="shared" si="74"/>
        <v>1.7154258338741826</v>
      </c>
      <c r="R118" s="226">
        <f t="shared" si="74"/>
        <v>1.6508516677483651</v>
      </c>
      <c r="S118" s="226">
        <f t="shared" si="74"/>
        <v>1.5862775016225477</v>
      </c>
      <c r="T118" s="226">
        <f t="shared" si="74"/>
        <v>1.6145757346145242</v>
      </c>
      <c r="U118" s="226">
        <f t="shared" si="74"/>
        <v>1.6428739676065007</v>
      </c>
      <c r="V118" s="226">
        <f t="shared" si="74"/>
        <v>1.6711722005984773</v>
      </c>
      <c r="W118" s="226">
        <f t="shared" si="74"/>
        <v>1.6994704335904538</v>
      </c>
      <c r="X118" s="226">
        <f t="shared" si="74"/>
        <v>1.7277686665824303</v>
      </c>
      <c r="Y118" s="226">
        <f t="shared" si="74"/>
        <v>1.7560668995744069</v>
      </c>
      <c r="Z118" s="226">
        <f t="shared" si="74"/>
        <v>1.7843651325663834</v>
      </c>
      <c r="AA118" s="226">
        <f t="shared" si="74"/>
        <v>1.8126633655583599</v>
      </c>
      <c r="AB118" s="226">
        <f t="shared" si="74"/>
        <v>1.8409615985503365</v>
      </c>
      <c r="AC118" s="226">
        <f t="shared" si="74"/>
        <v>1.8692598315423132</v>
      </c>
      <c r="AD118" s="226">
        <f t="shared" si="74"/>
        <v>1.9162682244116578</v>
      </c>
      <c r="AE118" s="226">
        <f t="shared" si="74"/>
        <v>1.9632766172810023</v>
      </c>
      <c r="AF118" s="226">
        <f t="shared" si="74"/>
        <v>2.0102850101503469</v>
      </c>
      <c r="AG118" s="226">
        <f t="shared" si="74"/>
        <v>2.0572934030196914</v>
      </c>
      <c r="AH118" s="226">
        <f t="shared" si="74"/>
        <v>2.104301795889036</v>
      </c>
      <c r="AI118" s="226">
        <f t="shared" si="74"/>
        <v>2.1513101887583805</v>
      </c>
      <c r="AJ118" s="226">
        <f t="shared" si="74"/>
        <v>2.1983185816277251</v>
      </c>
      <c r="AK118" s="226">
        <f t="shared" si="74"/>
        <v>2.2453269744970696</v>
      </c>
      <c r="AL118" s="226">
        <f t="shared" si="74"/>
        <v>2.2923353673664142</v>
      </c>
      <c r="AM118" s="226">
        <f t="shared" si="74"/>
        <v>2.3393437602357587</v>
      </c>
      <c r="AN118" s="226">
        <f t="shared" si="74"/>
        <v>2.407909860733243</v>
      </c>
      <c r="AO118" s="226">
        <f t="shared" si="74"/>
        <v>2.4764759612307272</v>
      </c>
      <c r="AP118" s="226">
        <f t="shared" si="74"/>
        <v>2.5450420617282115</v>
      </c>
      <c r="AQ118" s="226">
        <f t="shared" si="74"/>
        <v>2.6136081622256957</v>
      </c>
      <c r="AR118" s="226">
        <f t="shared" si="74"/>
        <v>2.6821742627231799</v>
      </c>
      <c r="AS118" s="226">
        <f t="shared" si="74"/>
        <v>2.7507403632206642</v>
      </c>
      <c r="AT118" s="226">
        <f t="shared" si="74"/>
        <v>2.8193064637181484</v>
      </c>
      <c r="AU118" s="226">
        <f t="shared" si="74"/>
        <v>2.8878725642156327</v>
      </c>
      <c r="AV118" s="226">
        <f t="shared" si="74"/>
        <v>2.9564386647131169</v>
      </c>
      <c r="AW118" s="226">
        <f t="shared" si="74"/>
        <v>3.0250047652106011</v>
      </c>
      <c r="AX118" s="226">
        <f t="shared" si="74"/>
        <v>3.0250047652106011</v>
      </c>
      <c r="AY118" s="226">
        <f t="shared" si="74"/>
        <v>3.0250047652106011</v>
      </c>
    </row>
    <row r="119" spans="1:78">
      <c r="A119" s="138" t="s">
        <v>16</v>
      </c>
      <c r="B119" s="22" t="str">
        <f t="shared" si="68"/>
        <v/>
      </c>
      <c r="C119" s="23" t="str">
        <f t="shared" si="69"/>
        <v/>
      </c>
      <c r="D119" s="61" t="str">
        <f>ITEMS_TRA!C23</f>
        <v>TFHCV8</v>
      </c>
      <c r="E119" s="23" t="str">
        <f t="shared" si="70"/>
        <v/>
      </c>
      <c r="G119" s="23" t="str">
        <f t="shared" si="70"/>
        <v/>
      </c>
      <c r="H119" s="23" t="str">
        <f t="shared" si="70"/>
        <v/>
      </c>
      <c r="I119" s="23" t="str">
        <f t="shared" si="70"/>
        <v/>
      </c>
      <c r="J119" s="147" t="str">
        <f t="shared" si="71"/>
        <v/>
      </c>
      <c r="K119" s="226">
        <f>INDEX('[3]TS BYDem'!J$10:J$59,MATCH($D119,'[3]TS BYDem'!D$10:D$59,0))</f>
        <v>5.8486156921973939E-2</v>
      </c>
      <c r="L119" s="226">
        <f t="shared" si="74"/>
        <v>6.5622085483256903E-2</v>
      </c>
      <c r="M119" s="226">
        <f t="shared" si="74"/>
        <v>7.2758014044539868E-2</v>
      </c>
      <c r="N119" s="226">
        <f t="shared" si="74"/>
        <v>7.9893942605822804E-2</v>
      </c>
      <c r="O119" s="226">
        <f t="shared" si="74"/>
        <v>9.0970063028559395E-2</v>
      </c>
      <c r="P119" s="226">
        <f t="shared" si="74"/>
        <v>0.102046183451296</v>
      </c>
      <c r="Q119" s="226">
        <f t="shared" si="74"/>
        <v>8.7787356992028109E-2</v>
      </c>
      <c r="R119" s="226">
        <f t="shared" si="74"/>
        <v>7.3528530532760233E-2</v>
      </c>
      <c r="S119" s="226">
        <f t="shared" si="74"/>
        <v>5.9269704073492351E-2</v>
      </c>
      <c r="T119" s="226">
        <f t="shared" si="74"/>
        <v>6.0327039812996697E-2</v>
      </c>
      <c r="U119" s="226">
        <f t="shared" si="74"/>
        <v>6.138437555250105E-2</v>
      </c>
      <c r="V119" s="226">
        <f t="shared" si="74"/>
        <v>6.2441711292005403E-2</v>
      </c>
      <c r="W119" s="226">
        <f t="shared" si="74"/>
        <v>6.3499047031509756E-2</v>
      </c>
      <c r="X119" s="226">
        <f t="shared" si="74"/>
        <v>6.4556382771014109E-2</v>
      </c>
      <c r="Y119" s="226">
        <f t="shared" si="74"/>
        <v>6.5613718510518462E-2</v>
      </c>
      <c r="Z119" s="226">
        <f t="shared" si="74"/>
        <v>6.6671054250022815E-2</v>
      </c>
      <c r="AA119" s="226">
        <f t="shared" si="74"/>
        <v>6.7728389989527168E-2</v>
      </c>
      <c r="AB119" s="226">
        <f t="shared" si="74"/>
        <v>6.8785725729031522E-2</v>
      </c>
      <c r="AC119" s="226">
        <f t="shared" si="74"/>
        <v>6.9843061468535847E-2</v>
      </c>
      <c r="AD119" s="226">
        <f t="shared" si="74"/>
        <v>7.1599483993274829E-2</v>
      </c>
      <c r="AE119" s="226">
        <f t="shared" si="74"/>
        <v>7.3355906518013811E-2</v>
      </c>
      <c r="AF119" s="226">
        <f t="shared" si="74"/>
        <v>7.5112329042752793E-2</v>
      </c>
      <c r="AG119" s="226">
        <f t="shared" si="74"/>
        <v>7.6868751567491775E-2</v>
      </c>
      <c r="AH119" s="226">
        <f t="shared" si="74"/>
        <v>7.8625174092230757E-2</v>
      </c>
      <c r="AI119" s="226">
        <f t="shared" si="74"/>
        <v>8.0381596616969739E-2</v>
      </c>
      <c r="AJ119" s="226">
        <f t="shared" si="74"/>
        <v>8.2138019141708721E-2</v>
      </c>
      <c r="AK119" s="226">
        <f t="shared" si="74"/>
        <v>8.3894441666447703E-2</v>
      </c>
      <c r="AL119" s="226">
        <f t="shared" si="74"/>
        <v>8.5650864191186685E-2</v>
      </c>
      <c r="AM119" s="226">
        <f t="shared" si="74"/>
        <v>8.7407286715925653E-2</v>
      </c>
      <c r="AN119" s="226">
        <f t="shared" si="74"/>
        <v>8.9969191856610314E-2</v>
      </c>
      <c r="AO119" s="226">
        <f t="shared" si="74"/>
        <v>9.2531096997294976E-2</v>
      </c>
      <c r="AP119" s="226">
        <f t="shared" si="74"/>
        <v>9.5093002137979638E-2</v>
      </c>
      <c r="AQ119" s="226">
        <f t="shared" si="74"/>
        <v>9.7654907278664299E-2</v>
      </c>
      <c r="AR119" s="226">
        <f t="shared" si="74"/>
        <v>0.10021681241934896</v>
      </c>
      <c r="AS119" s="226">
        <f t="shared" si="74"/>
        <v>0.10277871756003362</v>
      </c>
      <c r="AT119" s="226">
        <f t="shared" si="74"/>
        <v>0.10534062270071828</v>
      </c>
      <c r="AU119" s="226">
        <f t="shared" si="74"/>
        <v>0.10790252784140295</v>
      </c>
      <c r="AV119" s="226">
        <f t="shared" si="74"/>
        <v>0.11046443298208761</v>
      </c>
      <c r="AW119" s="226">
        <f t="shared" si="74"/>
        <v>0.11302633812277227</v>
      </c>
      <c r="AX119" s="226">
        <f t="shared" si="74"/>
        <v>0.11302633812277227</v>
      </c>
      <c r="AY119" s="226">
        <f t="shared" si="74"/>
        <v>0.11302633812277227</v>
      </c>
    </row>
    <row r="120" spans="1:78">
      <c r="A120" s="138" t="s">
        <v>16</v>
      </c>
      <c r="B120" s="22" t="str">
        <f t="shared" si="68"/>
        <v/>
      </c>
      <c r="C120" s="23" t="str">
        <f t="shared" si="69"/>
        <v/>
      </c>
      <c r="D120" s="61" t="str">
        <f>ITEMS_TRA!C24</f>
        <v>TFHCV9</v>
      </c>
      <c r="E120" s="23" t="str">
        <f t="shared" si="70"/>
        <v/>
      </c>
      <c r="G120" s="23" t="str">
        <f t="shared" si="70"/>
        <v/>
      </c>
      <c r="H120" s="23" t="str">
        <f t="shared" si="70"/>
        <v/>
      </c>
      <c r="I120" s="23" t="str">
        <f t="shared" si="70"/>
        <v/>
      </c>
      <c r="J120" s="147" t="str">
        <f t="shared" si="71"/>
        <v/>
      </c>
      <c r="K120" s="226">
        <f>INDEX('[3]TS BYDem'!J$10:J$59,MATCH($D120,'[3]TS BYDem'!D$10:D$59,0))</f>
        <v>3.9969372950314989E-2</v>
      </c>
      <c r="L120" s="226">
        <f t="shared" si="74"/>
        <v>3.4102559292729893E-2</v>
      </c>
      <c r="M120" s="226">
        <f t="shared" si="74"/>
        <v>2.8235745635144794E-2</v>
      </c>
      <c r="N120" s="226">
        <f t="shared" si="74"/>
        <v>2.2368931977559604E-2</v>
      </c>
      <c r="O120" s="226">
        <f t="shared" si="74"/>
        <v>2.2519965988779801E-2</v>
      </c>
      <c r="P120" s="226">
        <f t="shared" si="74"/>
        <v>2.2670999999999997E-2</v>
      </c>
      <c r="Q120" s="226">
        <f t="shared" si="74"/>
        <v>2.8615616060068422E-2</v>
      </c>
      <c r="R120" s="226">
        <f t="shared" si="74"/>
        <v>3.4560232120136848E-2</v>
      </c>
      <c r="S120" s="226">
        <f t="shared" si="74"/>
        <v>4.050484818020527E-2</v>
      </c>
      <c r="T120" s="226">
        <f t="shared" si="74"/>
        <v>4.122743021893157E-2</v>
      </c>
      <c r="U120" s="226">
        <f t="shared" si="74"/>
        <v>4.1950012257657869E-2</v>
      </c>
      <c r="V120" s="226">
        <f t="shared" si="74"/>
        <v>4.2672594296384168E-2</v>
      </c>
      <c r="W120" s="226">
        <f t="shared" si="74"/>
        <v>4.3395176335110468E-2</v>
      </c>
      <c r="X120" s="226">
        <f t="shared" si="74"/>
        <v>4.4117758373836767E-2</v>
      </c>
      <c r="Y120" s="226">
        <f t="shared" si="74"/>
        <v>4.4840340412563066E-2</v>
      </c>
      <c r="Z120" s="226">
        <f t="shared" si="74"/>
        <v>4.5562922451289366E-2</v>
      </c>
      <c r="AA120" s="226">
        <f t="shared" si="74"/>
        <v>4.6285504490015665E-2</v>
      </c>
      <c r="AB120" s="226">
        <f t="shared" si="74"/>
        <v>4.7008086528741964E-2</v>
      </c>
      <c r="AC120" s="226">
        <f t="shared" si="74"/>
        <v>4.7730668567468292E-2</v>
      </c>
      <c r="AD120" s="226">
        <f t="shared" si="74"/>
        <v>4.893100571807444E-2</v>
      </c>
      <c r="AE120" s="226">
        <f t="shared" si="74"/>
        <v>5.0131342868680588E-2</v>
      </c>
      <c r="AF120" s="226">
        <f t="shared" si="74"/>
        <v>5.1331680019286736E-2</v>
      </c>
      <c r="AG120" s="226">
        <f t="shared" si="74"/>
        <v>5.2532017169892885E-2</v>
      </c>
      <c r="AH120" s="226">
        <f t="shared" si="74"/>
        <v>5.3732354320499033E-2</v>
      </c>
      <c r="AI120" s="226">
        <f t="shared" si="74"/>
        <v>5.4932691471105181E-2</v>
      </c>
      <c r="AJ120" s="226">
        <f t="shared" si="74"/>
        <v>5.613302862171133E-2</v>
      </c>
      <c r="AK120" s="226">
        <f t="shared" si="74"/>
        <v>5.7333365772317478E-2</v>
      </c>
      <c r="AL120" s="226">
        <f t="shared" si="74"/>
        <v>5.8533702922923626E-2</v>
      </c>
      <c r="AM120" s="226">
        <f t="shared" si="74"/>
        <v>5.9734040073529754E-2</v>
      </c>
      <c r="AN120" s="226">
        <f t="shared" si="74"/>
        <v>6.1484843125403421E-2</v>
      </c>
      <c r="AO120" s="226">
        <f t="shared" si="74"/>
        <v>6.3235646177277088E-2</v>
      </c>
      <c r="AP120" s="226">
        <f t="shared" si="74"/>
        <v>6.4986449229150756E-2</v>
      </c>
      <c r="AQ120" s="226">
        <f t="shared" si="74"/>
        <v>6.6737252281024423E-2</v>
      </c>
      <c r="AR120" s="226">
        <f t="shared" si="74"/>
        <v>6.848805533289809E-2</v>
      </c>
      <c r="AS120" s="226">
        <f t="shared" si="74"/>
        <v>7.0238858384771757E-2</v>
      </c>
      <c r="AT120" s="226">
        <f t="shared" si="74"/>
        <v>7.1989661436645425E-2</v>
      </c>
      <c r="AU120" s="226">
        <f t="shared" si="74"/>
        <v>7.3740464488519092E-2</v>
      </c>
      <c r="AV120" s="226">
        <f t="shared" si="74"/>
        <v>7.5491267540392759E-2</v>
      </c>
      <c r="AW120" s="226">
        <f t="shared" si="74"/>
        <v>7.724207059226644E-2</v>
      </c>
      <c r="AX120" s="226">
        <f t="shared" si="74"/>
        <v>7.724207059226644E-2</v>
      </c>
      <c r="AY120" s="226">
        <f t="shared" si="74"/>
        <v>7.724207059226644E-2</v>
      </c>
    </row>
    <row r="121" spans="1:78">
      <c r="A121" s="138" t="s">
        <v>16</v>
      </c>
      <c r="B121" s="22" t="str">
        <f t="shared" si="68"/>
        <v/>
      </c>
      <c r="C121" s="23" t="str">
        <f t="shared" si="69"/>
        <v/>
      </c>
      <c r="D121" s="61" t="str">
        <f>ITEMS_TRA!C25</f>
        <v>TFRCO</v>
      </c>
      <c r="E121" s="23" t="str">
        <f t="shared" si="70"/>
        <v/>
      </c>
      <c r="G121" s="23" t="str">
        <f t="shared" si="70"/>
        <v/>
      </c>
      <c r="H121" s="23" t="str">
        <f t="shared" si="70"/>
        <v/>
      </c>
      <c r="I121" s="23" t="str">
        <f t="shared" si="70"/>
        <v/>
      </c>
      <c r="J121" s="147" t="str">
        <f t="shared" si="71"/>
        <v/>
      </c>
      <c r="K121" s="226">
        <f>INDEX('[3]TS BYDem'!J$10:J$59,MATCH($D121,'[3]TS BYDem'!D$10:D$59,0))</f>
        <v>22</v>
      </c>
      <c r="L121" s="226">
        <f t="shared" si="74"/>
        <v>22.352445526032653</v>
      </c>
      <c r="M121" s="226">
        <f t="shared" si="74"/>
        <v>22.704891052065307</v>
      </c>
      <c r="N121" s="226">
        <f t="shared" si="74"/>
        <v>23.057336578097956</v>
      </c>
      <c r="O121" s="226">
        <f t="shared" si="74"/>
        <v>23.249070137552081</v>
      </c>
      <c r="P121" s="226">
        <f t="shared" si="74"/>
        <v>23.44080369700621</v>
      </c>
      <c r="Q121" s="226">
        <f t="shared" si="74"/>
        <v>23.058781481202889</v>
      </c>
      <c r="R121" s="226">
        <f t="shared" si="74"/>
        <v>22.676759265399568</v>
      </c>
      <c r="S121" s="226">
        <f t="shared" si="74"/>
        <v>22.294737049596247</v>
      </c>
      <c r="T121" s="226">
        <f t="shared" si="74"/>
        <v>22.692461699210831</v>
      </c>
      <c r="U121" s="226">
        <f t="shared" si="74"/>
        <v>23.090186348825416</v>
      </c>
      <c r="V121" s="226">
        <f t="shared" si="74"/>
        <v>23.48791099844</v>
      </c>
      <c r="W121" s="226">
        <f t="shared" si="74"/>
        <v>23.885635648054585</v>
      </c>
      <c r="X121" s="226">
        <f t="shared" si="74"/>
        <v>24.283360297669169</v>
      </c>
      <c r="Y121" s="226">
        <f t="shared" si="74"/>
        <v>24.681084947283754</v>
      </c>
      <c r="Z121" s="226">
        <f t="shared" si="74"/>
        <v>25.078809596898338</v>
      </c>
      <c r="AA121" s="226">
        <f t="shared" si="74"/>
        <v>25.476534246512923</v>
      </c>
      <c r="AB121" s="226">
        <f t="shared" si="74"/>
        <v>25.874258896127508</v>
      </c>
      <c r="AC121" s="226">
        <f t="shared" si="74"/>
        <v>26.271983545742096</v>
      </c>
      <c r="AD121" s="226">
        <f t="shared" si="74"/>
        <v>26.932674854213751</v>
      </c>
      <c r="AE121" s="226">
        <f t="shared" si="74"/>
        <v>27.593366162685406</v>
      </c>
      <c r="AF121" s="226">
        <f t="shared" si="74"/>
        <v>28.254057471157061</v>
      </c>
      <c r="AG121" s="226">
        <f t="shared" si="74"/>
        <v>28.914748779628717</v>
      </c>
      <c r="AH121" s="226">
        <f t="shared" si="74"/>
        <v>29.575440088100372</v>
      </c>
      <c r="AI121" s="226">
        <f t="shared" si="74"/>
        <v>30.236131396572027</v>
      </c>
      <c r="AJ121" s="226">
        <f t="shared" si="74"/>
        <v>30.896822705043682</v>
      </c>
      <c r="AK121" s="226">
        <f t="shared" si="74"/>
        <v>31.557514013515338</v>
      </c>
      <c r="AL121" s="226">
        <f t="shared" si="74"/>
        <v>32.218205321986993</v>
      </c>
      <c r="AM121" s="226">
        <f t="shared" si="74"/>
        <v>32.878896630458662</v>
      </c>
      <c r="AN121" s="226">
        <f t="shared" si="74"/>
        <v>33.842576175521856</v>
      </c>
      <c r="AO121" s="226">
        <f t="shared" si="74"/>
        <v>34.806255720585057</v>
      </c>
      <c r="AP121" s="226">
        <f t="shared" si="74"/>
        <v>35.769935265648257</v>
      </c>
      <c r="AQ121" s="226">
        <f t="shared" si="74"/>
        <v>36.733614810711458</v>
      </c>
      <c r="AR121" s="226">
        <f t="shared" si="74"/>
        <v>37.697294355774659</v>
      </c>
      <c r="AS121" s="226">
        <f t="shared" si="74"/>
        <v>38.66097390083786</v>
      </c>
      <c r="AT121" s="226">
        <f t="shared" si="74"/>
        <v>39.62465344590106</v>
      </c>
      <c r="AU121" s="226">
        <f t="shared" si="74"/>
        <v>40.588332990964261</v>
      </c>
      <c r="AV121" s="226">
        <f t="shared" si="74"/>
        <v>41.552012536027462</v>
      </c>
      <c r="AW121" s="226">
        <f t="shared" si="74"/>
        <v>42.515692081090634</v>
      </c>
      <c r="AX121" s="226">
        <f t="shared" si="74"/>
        <v>42.515692081090634</v>
      </c>
      <c r="AY121" s="226">
        <f t="shared" si="74"/>
        <v>42.515692081090634</v>
      </c>
    </row>
    <row r="122" spans="1:78">
      <c r="A122" s="138" t="s">
        <v>16</v>
      </c>
      <c r="B122" s="22" t="str">
        <f t="shared" si="68"/>
        <v/>
      </c>
      <c r="C122" s="23" t="str">
        <f t="shared" si="69"/>
        <v/>
      </c>
      <c r="D122" s="61" t="str">
        <f>ITEMS_TRA!C26</f>
        <v>TFROT</v>
      </c>
      <c r="E122" s="23" t="str">
        <f t="shared" si="70"/>
        <v/>
      </c>
      <c r="G122" s="23" t="str">
        <f t="shared" si="70"/>
        <v/>
      </c>
      <c r="H122" s="23" t="str">
        <f t="shared" si="70"/>
        <v/>
      </c>
      <c r="I122" s="23" t="str">
        <f t="shared" si="70"/>
        <v/>
      </c>
      <c r="J122" s="147" t="str">
        <f t="shared" si="71"/>
        <v/>
      </c>
      <c r="K122" s="226">
        <f>INDEX('[3]TS BYDem'!J$10:J$59,MATCH($D122,'[3]TS BYDem'!D$10:D$59,0))</f>
        <v>25.099999999999998</v>
      </c>
      <c r="L122" s="226">
        <f t="shared" si="74"/>
        <v>25.50210830470089</v>
      </c>
      <c r="M122" s="226">
        <f t="shared" si="74"/>
        <v>25.904216609401782</v>
      </c>
      <c r="N122" s="226">
        <f t="shared" si="74"/>
        <v>26.306324914102674</v>
      </c>
      <c r="O122" s="226">
        <f t="shared" si="74"/>
        <v>26.525075475116246</v>
      </c>
      <c r="P122" s="226">
        <f t="shared" si="74"/>
        <v>26.743826036129818</v>
      </c>
      <c r="Q122" s="226">
        <f t="shared" si="74"/>
        <v>26.307973417190574</v>
      </c>
      <c r="R122" s="226">
        <f t="shared" si="74"/>
        <v>25.872120798251331</v>
      </c>
      <c r="S122" s="226">
        <f t="shared" si="74"/>
        <v>25.436268179312087</v>
      </c>
      <c r="T122" s="226">
        <f t="shared" si="74"/>
        <v>25.890035847736002</v>
      </c>
      <c r="U122" s="226">
        <f t="shared" si="74"/>
        <v>26.343803516159916</v>
      </c>
      <c r="V122" s="226">
        <f t="shared" si="74"/>
        <v>26.79757118458383</v>
      </c>
      <c r="W122" s="226">
        <f t="shared" si="74"/>
        <v>27.251338853007745</v>
      </c>
      <c r="X122" s="226">
        <f t="shared" si="74"/>
        <v>27.705106521431659</v>
      </c>
      <c r="Y122" s="226">
        <f t="shared" si="74"/>
        <v>28.158874189855574</v>
      </c>
      <c r="Z122" s="226">
        <f t="shared" si="74"/>
        <v>28.612641858279488</v>
      </c>
      <c r="AA122" s="226">
        <f t="shared" si="74"/>
        <v>29.066409526703403</v>
      </c>
      <c r="AB122" s="226">
        <f t="shared" si="74"/>
        <v>29.520177195127317</v>
      </c>
      <c r="AC122" s="226">
        <f t="shared" si="74"/>
        <v>29.973944863551218</v>
      </c>
      <c r="AD122" s="226">
        <f t="shared" si="74"/>
        <v>30.727733583671153</v>
      </c>
      <c r="AE122" s="226">
        <f t="shared" si="74"/>
        <v>31.481522303791088</v>
      </c>
      <c r="AF122" s="226">
        <f t="shared" si="74"/>
        <v>32.235311023911024</v>
      </c>
      <c r="AG122" s="226">
        <f t="shared" si="74"/>
        <v>32.989099744030959</v>
      </c>
      <c r="AH122" s="226">
        <f t="shared" si="74"/>
        <v>33.742888464150894</v>
      </c>
      <c r="AI122" s="226">
        <f t="shared" si="74"/>
        <v>34.49667718427083</v>
      </c>
      <c r="AJ122" s="226">
        <f t="shared" si="74"/>
        <v>35.250465904390765</v>
      </c>
      <c r="AK122" s="226">
        <f t="shared" si="74"/>
        <v>36.0042546245107</v>
      </c>
      <c r="AL122" s="226">
        <f t="shared" si="74"/>
        <v>36.758043344630636</v>
      </c>
      <c r="AM122" s="226">
        <f t="shared" si="74"/>
        <v>37.511832064750578</v>
      </c>
      <c r="AN122" s="226">
        <f t="shared" si="74"/>
        <v>38.611302818436315</v>
      </c>
      <c r="AO122" s="226">
        <f t="shared" si="74"/>
        <v>39.710773572122051</v>
      </c>
      <c r="AP122" s="226">
        <f t="shared" si="74"/>
        <v>40.810244325807787</v>
      </c>
      <c r="AQ122" s="226">
        <f t="shared" si="74"/>
        <v>41.909715079493523</v>
      </c>
      <c r="AR122" s="226">
        <f t="shared" si="74"/>
        <v>43.009185833179259</v>
      </c>
      <c r="AS122" s="226">
        <f t="shared" si="74"/>
        <v>44.108656586864996</v>
      </c>
      <c r="AT122" s="226">
        <f t="shared" si="74"/>
        <v>45.208127340550732</v>
      </c>
      <c r="AU122" s="226">
        <f t="shared" si="74"/>
        <v>46.307598094236468</v>
      </c>
      <c r="AV122" s="226">
        <f t="shared" si="74"/>
        <v>47.407068847922204</v>
      </c>
      <c r="AW122" s="226">
        <f t="shared" si="74"/>
        <v>48.506539601607962</v>
      </c>
      <c r="AX122" s="226">
        <f t="shared" si="74"/>
        <v>48.506539601607962</v>
      </c>
      <c r="AY122" s="226">
        <f t="shared" si="74"/>
        <v>48.506539601607962</v>
      </c>
    </row>
    <row r="123" spans="1:78">
      <c r="A123" s="138" t="s">
        <v>16</v>
      </c>
      <c r="B123" s="22" t="str">
        <f t="shared" si="68"/>
        <v/>
      </c>
      <c r="C123" s="148" t="str">
        <f t="shared" si="69"/>
        <v/>
      </c>
      <c r="D123" s="61" t="str">
        <f>ITEMS_TRA!C27</f>
        <v>TFREX</v>
      </c>
      <c r="E123" s="148" t="str">
        <f t="shared" si="70"/>
        <v/>
      </c>
      <c r="G123" s="148" t="str">
        <f t="shared" si="70"/>
        <v/>
      </c>
      <c r="H123" s="148" t="str">
        <f t="shared" si="70"/>
        <v/>
      </c>
      <c r="I123" s="148" t="str">
        <f t="shared" si="70"/>
        <v/>
      </c>
      <c r="J123" s="149" t="str">
        <f t="shared" si="71"/>
        <v/>
      </c>
      <c r="K123" s="226">
        <f>INDEX('[3]TS BYDem'!J$10:J$59,MATCH($D123,'[3]TS BYDem'!D$10:D$59,0))</f>
        <v>82</v>
      </c>
      <c r="L123" s="226">
        <f t="shared" si="74"/>
        <v>82</v>
      </c>
      <c r="M123" s="226">
        <f t="shared" si="74"/>
        <v>82</v>
      </c>
      <c r="N123" s="226">
        <f t="shared" si="74"/>
        <v>82</v>
      </c>
      <c r="O123" s="226">
        <f t="shared" si="74"/>
        <v>82</v>
      </c>
      <c r="P123" s="226">
        <f t="shared" si="74"/>
        <v>82</v>
      </c>
      <c r="Q123" s="226">
        <f t="shared" si="74"/>
        <v>79.765410049200213</v>
      </c>
      <c r="R123" s="226">
        <f t="shared" si="74"/>
        <v>77.530820098400426</v>
      </c>
      <c r="S123" s="226">
        <f t="shared" si="74"/>
        <v>75.296230147600639</v>
      </c>
      <c r="T123" s="226">
        <f t="shared" si="74"/>
        <v>76.570694839865482</v>
      </c>
      <c r="U123" s="226">
        <f t="shared" si="74"/>
        <v>77.845159532130324</v>
      </c>
      <c r="V123" s="226">
        <f t="shared" si="74"/>
        <v>79.119624224395167</v>
      </c>
      <c r="W123" s="226">
        <f t="shared" si="74"/>
        <v>80.39408891666001</v>
      </c>
      <c r="X123" s="226">
        <f t="shared" si="74"/>
        <v>81.668553608924853</v>
      </c>
      <c r="Y123" s="226">
        <f t="shared" si="74"/>
        <v>82.943018301189696</v>
      </c>
      <c r="Z123" s="226">
        <f t="shared" si="74"/>
        <v>84.217482993454539</v>
      </c>
      <c r="AA123" s="226">
        <f t="shared" si="74"/>
        <v>85.491947685719381</v>
      </c>
      <c r="AB123" s="226">
        <f t="shared" si="74"/>
        <v>86.766412377984224</v>
      </c>
      <c r="AC123" s="226">
        <f t="shared" si="74"/>
        <v>88.040877070249081</v>
      </c>
      <c r="AD123" s="226">
        <f t="shared" si="74"/>
        <v>89.889451104345511</v>
      </c>
      <c r="AE123" s="226">
        <f t="shared" si="74"/>
        <v>91.738025138441941</v>
      </c>
      <c r="AF123" s="226">
        <f t="shared" si="74"/>
        <v>93.586599172538371</v>
      </c>
      <c r="AG123" s="226">
        <f t="shared" si="74"/>
        <v>95.435173206634801</v>
      </c>
      <c r="AH123" s="226">
        <f t="shared" si="74"/>
        <v>97.28374724073123</v>
      </c>
      <c r="AI123" s="226">
        <f t="shared" si="74"/>
        <v>99.13232127482766</v>
      </c>
      <c r="AJ123" s="226">
        <f t="shared" si="74"/>
        <v>100.98089530892409</v>
      </c>
      <c r="AK123" s="226">
        <f t="shared" si="74"/>
        <v>102.82946934302052</v>
      </c>
      <c r="AL123" s="226">
        <f t="shared" si="74"/>
        <v>104.67804337711695</v>
      </c>
      <c r="AM123" s="226">
        <f t="shared" si="74"/>
        <v>106.52661741121335</v>
      </c>
      <c r="AN123" s="226">
        <f t="shared" si="74"/>
        <v>108.83266535327128</v>
      </c>
      <c r="AO123" s="226">
        <f t="shared" si="74"/>
        <v>111.13871329532921</v>
      </c>
      <c r="AP123" s="226">
        <f t="shared" si="74"/>
        <v>113.44476123738714</v>
      </c>
      <c r="AQ123" s="226">
        <f t="shared" si="74"/>
        <v>115.75080917944507</v>
      </c>
      <c r="AR123" s="226">
        <f t="shared" si="74"/>
        <v>118.056857121503</v>
      </c>
      <c r="AS123" s="226">
        <f t="shared" si="74"/>
        <v>120.36290506356093</v>
      </c>
      <c r="AT123" s="226">
        <f t="shared" si="74"/>
        <v>122.66895300561886</v>
      </c>
      <c r="AU123" s="226">
        <f t="shared" si="74"/>
        <v>124.97500094767679</v>
      </c>
      <c r="AV123" s="226">
        <f t="shared" si="74"/>
        <v>127.28104888973472</v>
      </c>
      <c r="AW123" s="226">
        <f t="shared" si="74"/>
        <v>129.58709683179265</v>
      </c>
      <c r="AX123" s="226">
        <f t="shared" si="74"/>
        <v>129.58709683179265</v>
      </c>
      <c r="AY123" s="226">
        <f t="shared" si="74"/>
        <v>129.58709683179265</v>
      </c>
    </row>
    <row r="124" spans="1:78">
      <c r="A124" s="138" t="s">
        <v>16</v>
      </c>
      <c r="B124" s="226"/>
      <c r="C124" s="226"/>
      <c r="F124" s="278"/>
      <c r="G124" s="10"/>
      <c r="H124" s="10"/>
      <c r="I124" s="10"/>
      <c r="J124" s="10"/>
      <c r="K124" s="10"/>
      <c r="L124" s="10"/>
      <c r="N124" s="10"/>
    </row>
    <row r="125" spans="1:78">
      <c r="B125" s="226"/>
      <c r="C125" s="226"/>
      <c r="F125" s="278"/>
      <c r="G125" s="10"/>
      <c r="H125" s="10"/>
      <c r="I125" s="10"/>
      <c r="J125" s="10"/>
      <c r="K125" s="10"/>
      <c r="L125" s="10"/>
      <c r="N125" s="10"/>
    </row>
    <row r="126" spans="1:78">
      <c r="A126" s="225" t="s">
        <v>16</v>
      </c>
      <c r="B126" s="226"/>
      <c r="C126" s="226"/>
      <c r="F126" s="281"/>
      <c r="G126" s="10"/>
      <c r="H126" s="10"/>
      <c r="I126" s="10"/>
      <c r="J126" s="10"/>
      <c r="K126" s="10"/>
      <c r="L126" s="10"/>
      <c r="N126" s="10"/>
    </row>
    <row r="127" spans="1:78" ht="23.25">
      <c r="A127" s="136" t="s">
        <v>16</v>
      </c>
      <c r="B127" s="140" t="s">
        <v>19</v>
      </c>
      <c r="C127" s="140" t="s">
        <v>20</v>
      </c>
      <c r="D127" s="140" t="s">
        <v>21</v>
      </c>
      <c r="E127" s="140"/>
      <c r="F127" s="140" t="s">
        <v>22</v>
      </c>
      <c r="G127" s="140" t="s">
        <v>23</v>
      </c>
      <c r="H127" s="140" t="s">
        <v>24</v>
      </c>
      <c r="I127" s="141" t="s">
        <v>25</v>
      </c>
      <c r="J127" s="225">
        <v>2012</v>
      </c>
      <c r="K127" s="225">
        <v>2013</v>
      </c>
      <c r="L127" s="225">
        <v>2014</v>
      </c>
      <c r="M127" s="225">
        <v>2015</v>
      </c>
      <c r="N127" s="225">
        <v>2016</v>
      </c>
      <c r="O127" s="225">
        <v>2017</v>
      </c>
      <c r="P127" s="225">
        <v>2018</v>
      </c>
      <c r="Q127" s="225">
        <v>2019</v>
      </c>
      <c r="R127" s="225">
        <v>2020</v>
      </c>
      <c r="S127" s="225">
        <v>2021</v>
      </c>
      <c r="T127" s="225">
        <v>2022</v>
      </c>
      <c r="U127" s="225">
        <v>2023</v>
      </c>
      <c r="V127" s="225">
        <v>2024</v>
      </c>
      <c r="W127" s="225">
        <v>2025</v>
      </c>
      <c r="X127" s="225">
        <v>2026</v>
      </c>
      <c r="Y127" s="225">
        <v>2027</v>
      </c>
      <c r="Z127" s="225">
        <v>2028</v>
      </c>
      <c r="AA127" s="225">
        <v>2029</v>
      </c>
      <c r="AB127" s="225">
        <v>2030</v>
      </c>
      <c r="AC127" s="225">
        <v>2031</v>
      </c>
      <c r="AD127" s="225">
        <v>2032</v>
      </c>
      <c r="AE127" s="225">
        <v>2033</v>
      </c>
      <c r="AF127" s="225">
        <v>2034</v>
      </c>
      <c r="AG127" s="225">
        <v>2035</v>
      </c>
      <c r="AH127" s="225">
        <v>2036</v>
      </c>
      <c r="AI127" s="225">
        <v>2037</v>
      </c>
      <c r="AJ127" s="225">
        <v>2038</v>
      </c>
      <c r="AK127" s="225">
        <v>2039</v>
      </c>
      <c r="AL127" s="225">
        <v>2040</v>
      </c>
      <c r="AM127" s="225">
        <v>2045</v>
      </c>
      <c r="AN127" s="225">
        <v>2050</v>
      </c>
      <c r="AO127" s="225">
        <v>2060</v>
      </c>
      <c r="AP127" s="225">
        <v>2070</v>
      </c>
    </row>
    <row r="128" spans="1:78" s="231" customFormat="1">
      <c r="A128" s="136" t="s">
        <v>16</v>
      </c>
      <c r="B128" s="231">
        <v>1</v>
      </c>
      <c r="C128" s="231">
        <v>2012</v>
      </c>
      <c r="D128" s="231">
        <v>2015</v>
      </c>
      <c r="E128" s="231">
        <v>2017</v>
      </c>
      <c r="F128" s="231">
        <v>2020</v>
      </c>
      <c r="G128" s="231">
        <v>2030</v>
      </c>
      <c r="H128" s="231">
        <v>2040</v>
      </c>
      <c r="I128" s="280">
        <v>2050</v>
      </c>
      <c r="J128" s="231">
        <f t="shared" ref="J128:S129" si="75">MATCH(J$127,$C$128:$I$128,$B128)</f>
        <v>1</v>
      </c>
      <c r="K128" s="231">
        <f t="shared" si="75"/>
        <v>1</v>
      </c>
      <c r="L128" s="231">
        <f t="shared" si="75"/>
        <v>1</v>
      </c>
      <c r="M128" s="231">
        <f t="shared" si="75"/>
        <v>2</v>
      </c>
      <c r="N128" s="231">
        <f t="shared" si="75"/>
        <v>2</v>
      </c>
      <c r="O128" s="231">
        <f t="shared" si="75"/>
        <v>3</v>
      </c>
      <c r="P128" s="231">
        <f t="shared" si="75"/>
        <v>3</v>
      </c>
      <c r="Q128" s="231">
        <f t="shared" si="75"/>
        <v>3</v>
      </c>
      <c r="R128" s="231">
        <f t="shared" si="75"/>
        <v>4</v>
      </c>
      <c r="S128" s="231">
        <f t="shared" si="75"/>
        <v>4</v>
      </c>
      <c r="T128" s="231">
        <f t="shared" ref="T128:AC129" si="76">MATCH(T$127,$C$128:$I$128,$B128)</f>
        <v>4</v>
      </c>
      <c r="U128" s="231">
        <f t="shared" si="76"/>
        <v>4</v>
      </c>
      <c r="V128" s="231">
        <f t="shared" si="76"/>
        <v>4</v>
      </c>
      <c r="W128" s="231">
        <f t="shared" si="76"/>
        <v>4</v>
      </c>
      <c r="X128" s="231">
        <f t="shared" si="76"/>
        <v>4</v>
      </c>
      <c r="Y128" s="231">
        <f t="shared" si="76"/>
        <v>4</v>
      </c>
      <c r="Z128" s="231">
        <f t="shared" si="76"/>
        <v>4</v>
      </c>
      <c r="AA128" s="231">
        <f t="shared" si="76"/>
        <v>4</v>
      </c>
      <c r="AB128" s="231">
        <f t="shared" si="76"/>
        <v>5</v>
      </c>
      <c r="AC128" s="231">
        <f t="shared" si="76"/>
        <v>5</v>
      </c>
      <c r="AD128" s="231">
        <f t="shared" ref="AD128:AP129" si="77">MATCH(AD$127,$C$128:$I$128,$B128)</f>
        <v>5</v>
      </c>
      <c r="AE128" s="231">
        <f t="shared" si="77"/>
        <v>5</v>
      </c>
      <c r="AF128" s="231">
        <f t="shared" si="77"/>
        <v>5</v>
      </c>
      <c r="AG128" s="231">
        <f t="shared" si="77"/>
        <v>5</v>
      </c>
      <c r="AH128" s="231">
        <f t="shared" si="77"/>
        <v>5</v>
      </c>
      <c r="AI128" s="231">
        <f t="shared" si="77"/>
        <v>5</v>
      </c>
      <c r="AJ128" s="231">
        <f t="shared" si="77"/>
        <v>5</v>
      </c>
      <c r="AK128" s="231">
        <f t="shared" si="77"/>
        <v>5</v>
      </c>
      <c r="AL128" s="231">
        <f t="shared" si="77"/>
        <v>6</v>
      </c>
      <c r="AM128" s="231">
        <f t="shared" si="77"/>
        <v>6</v>
      </c>
      <c r="AN128" s="231">
        <f t="shared" si="77"/>
        <v>7</v>
      </c>
      <c r="AO128" s="231">
        <f t="shared" si="77"/>
        <v>7</v>
      </c>
      <c r="AP128" s="231">
        <f t="shared" si="77"/>
        <v>7</v>
      </c>
      <c r="AR128" s="225"/>
      <c r="AS128" s="225"/>
      <c r="AT128" s="225"/>
      <c r="AU128" s="225"/>
      <c r="AV128" s="225"/>
      <c r="AW128" s="225"/>
      <c r="AX128" s="225"/>
      <c r="AY128" s="225"/>
      <c r="AZ128" s="225"/>
      <c r="BA128" s="225"/>
      <c r="BB128" s="225"/>
      <c r="BC128" s="225"/>
      <c r="BD128" s="225"/>
      <c r="BE128" s="225"/>
      <c r="BF128" s="225"/>
      <c r="BG128" s="225"/>
      <c r="BH128" s="225"/>
      <c r="BI128" s="225"/>
      <c r="BJ128" s="225"/>
      <c r="BK128" s="225"/>
      <c r="BL128" s="225"/>
      <c r="BM128" s="225"/>
      <c r="BN128" s="225"/>
      <c r="BO128" s="225"/>
      <c r="BP128" s="225"/>
      <c r="BQ128" s="225"/>
      <c r="BR128" s="225"/>
      <c r="BS128" s="225"/>
      <c r="BT128" s="225"/>
      <c r="BU128" s="225"/>
      <c r="BV128" s="225"/>
      <c r="BW128" s="225"/>
      <c r="BX128" s="225"/>
      <c r="BY128" s="225"/>
      <c r="BZ128" s="225"/>
    </row>
    <row r="129" spans="1:78">
      <c r="A129" s="41" t="s">
        <v>16</v>
      </c>
      <c r="B129" s="225">
        <v>0</v>
      </c>
      <c r="C129" s="225">
        <f t="shared" ref="C129:H129" si="78">INDEX($C128:$I128,0,COUNT($C128:$I128)-C130)</f>
        <v>2050</v>
      </c>
      <c r="D129" s="225">
        <f t="shared" si="78"/>
        <v>2040</v>
      </c>
      <c r="E129" s="225">
        <f t="shared" si="78"/>
        <v>2030</v>
      </c>
      <c r="F129" s="225">
        <f t="shared" si="78"/>
        <v>2020</v>
      </c>
      <c r="G129" s="225">
        <f t="shared" si="78"/>
        <v>2017</v>
      </c>
      <c r="H129" s="225">
        <f t="shared" si="78"/>
        <v>2015</v>
      </c>
      <c r="I129" s="143">
        <v>2012</v>
      </c>
      <c r="J129" s="41">
        <f t="shared" si="75"/>
        <v>1</v>
      </c>
      <c r="K129" s="225" t="e">
        <f t="shared" si="75"/>
        <v>#N/A</v>
      </c>
      <c r="L129" s="225" t="e">
        <f t="shared" si="75"/>
        <v>#N/A</v>
      </c>
      <c r="M129" s="225">
        <f t="shared" si="75"/>
        <v>2</v>
      </c>
      <c r="N129" s="225" t="e">
        <f t="shared" si="75"/>
        <v>#N/A</v>
      </c>
      <c r="O129" s="225">
        <f t="shared" si="75"/>
        <v>3</v>
      </c>
      <c r="P129" s="225" t="e">
        <f t="shared" si="75"/>
        <v>#N/A</v>
      </c>
      <c r="Q129" s="225" t="e">
        <f t="shared" si="75"/>
        <v>#N/A</v>
      </c>
      <c r="R129" s="225">
        <f t="shared" si="75"/>
        <v>4</v>
      </c>
      <c r="S129" s="225" t="e">
        <f t="shared" si="75"/>
        <v>#N/A</v>
      </c>
      <c r="T129" s="225" t="e">
        <f t="shared" si="76"/>
        <v>#N/A</v>
      </c>
      <c r="U129" s="225" t="e">
        <f t="shared" si="76"/>
        <v>#N/A</v>
      </c>
      <c r="V129" s="225" t="e">
        <f t="shared" si="76"/>
        <v>#N/A</v>
      </c>
      <c r="W129" s="225" t="e">
        <f t="shared" si="76"/>
        <v>#N/A</v>
      </c>
      <c r="X129" s="225" t="e">
        <f t="shared" si="76"/>
        <v>#N/A</v>
      </c>
      <c r="Y129" s="225" t="e">
        <f t="shared" si="76"/>
        <v>#N/A</v>
      </c>
      <c r="Z129" s="225" t="e">
        <f t="shared" si="76"/>
        <v>#N/A</v>
      </c>
      <c r="AA129" s="225" t="e">
        <f t="shared" si="76"/>
        <v>#N/A</v>
      </c>
      <c r="AB129" s="225">
        <f t="shared" si="76"/>
        <v>5</v>
      </c>
      <c r="AC129" s="225" t="e">
        <f t="shared" si="76"/>
        <v>#N/A</v>
      </c>
      <c r="AD129" s="225" t="e">
        <f t="shared" si="77"/>
        <v>#N/A</v>
      </c>
      <c r="AE129" s="225" t="e">
        <f t="shared" si="77"/>
        <v>#N/A</v>
      </c>
      <c r="AF129" s="225" t="e">
        <f t="shared" si="77"/>
        <v>#N/A</v>
      </c>
      <c r="AG129" s="225" t="e">
        <f t="shared" si="77"/>
        <v>#N/A</v>
      </c>
      <c r="AH129" s="225" t="e">
        <f t="shared" si="77"/>
        <v>#N/A</v>
      </c>
      <c r="AI129" s="225" t="e">
        <f t="shared" si="77"/>
        <v>#N/A</v>
      </c>
      <c r="AJ129" s="225" t="e">
        <f t="shared" si="77"/>
        <v>#N/A</v>
      </c>
      <c r="AK129" s="225" t="e">
        <f t="shared" si="77"/>
        <v>#N/A</v>
      </c>
      <c r="AL129" s="225">
        <f t="shared" si="77"/>
        <v>6</v>
      </c>
      <c r="AM129" s="225" t="e">
        <f t="shared" si="77"/>
        <v>#N/A</v>
      </c>
      <c r="AN129" s="225">
        <f t="shared" si="77"/>
        <v>7</v>
      </c>
      <c r="AO129" s="225" t="e">
        <f t="shared" si="77"/>
        <v>#N/A</v>
      </c>
      <c r="AP129" s="225" t="e">
        <f t="shared" si="77"/>
        <v>#N/A</v>
      </c>
    </row>
    <row r="130" spans="1:78">
      <c r="A130" s="41" t="s">
        <v>16</v>
      </c>
      <c r="B130" s="225">
        <v>-1</v>
      </c>
      <c r="C130" s="225">
        <v>0</v>
      </c>
      <c r="D130" s="225">
        <v>1</v>
      </c>
      <c r="E130" s="228">
        <v>2</v>
      </c>
      <c r="F130" s="225">
        <v>3</v>
      </c>
      <c r="G130" s="225">
        <v>4</v>
      </c>
      <c r="H130" s="225">
        <v>5</v>
      </c>
      <c r="I130" s="225">
        <v>6</v>
      </c>
      <c r="J130" s="41">
        <f t="shared" ref="J130:AP130" si="79">MATCH(J$127,$C$129:$I$129,$B130)</f>
        <v>7</v>
      </c>
      <c r="K130" s="225">
        <f t="shared" si="79"/>
        <v>6</v>
      </c>
      <c r="L130" s="225">
        <f t="shared" si="79"/>
        <v>6</v>
      </c>
      <c r="M130" s="225">
        <f t="shared" si="79"/>
        <v>6</v>
      </c>
      <c r="N130" s="225">
        <f t="shared" si="79"/>
        <v>5</v>
      </c>
      <c r="O130" s="225">
        <f t="shared" si="79"/>
        <v>5</v>
      </c>
      <c r="P130" s="225">
        <f t="shared" si="79"/>
        <v>4</v>
      </c>
      <c r="Q130" s="225">
        <f t="shared" si="79"/>
        <v>4</v>
      </c>
      <c r="R130" s="225">
        <f t="shared" si="79"/>
        <v>4</v>
      </c>
      <c r="S130" s="225">
        <f t="shared" si="79"/>
        <v>3</v>
      </c>
      <c r="T130" s="225">
        <f t="shared" si="79"/>
        <v>3</v>
      </c>
      <c r="U130" s="225">
        <f t="shared" si="79"/>
        <v>3</v>
      </c>
      <c r="V130" s="225">
        <f t="shared" si="79"/>
        <v>3</v>
      </c>
      <c r="W130" s="225">
        <f t="shared" si="79"/>
        <v>3</v>
      </c>
      <c r="X130" s="225">
        <f t="shared" si="79"/>
        <v>3</v>
      </c>
      <c r="Y130" s="225">
        <f t="shared" si="79"/>
        <v>3</v>
      </c>
      <c r="Z130" s="225">
        <f t="shared" si="79"/>
        <v>3</v>
      </c>
      <c r="AA130" s="225">
        <f t="shared" si="79"/>
        <v>3</v>
      </c>
      <c r="AB130" s="225">
        <f t="shared" si="79"/>
        <v>3</v>
      </c>
      <c r="AC130" s="225">
        <f t="shared" si="79"/>
        <v>2</v>
      </c>
      <c r="AD130" s="225">
        <f t="shared" si="79"/>
        <v>2</v>
      </c>
      <c r="AE130" s="225">
        <f t="shared" si="79"/>
        <v>2</v>
      </c>
      <c r="AF130" s="225">
        <f t="shared" si="79"/>
        <v>2</v>
      </c>
      <c r="AG130" s="225">
        <f t="shared" si="79"/>
        <v>2</v>
      </c>
      <c r="AH130" s="225">
        <f t="shared" si="79"/>
        <v>2</v>
      </c>
      <c r="AI130" s="225">
        <f t="shared" si="79"/>
        <v>2</v>
      </c>
      <c r="AJ130" s="225">
        <f t="shared" si="79"/>
        <v>2</v>
      </c>
      <c r="AK130" s="225">
        <f t="shared" si="79"/>
        <v>2</v>
      </c>
      <c r="AL130" s="225">
        <f t="shared" si="79"/>
        <v>2</v>
      </c>
      <c r="AM130" s="225">
        <f t="shared" si="79"/>
        <v>1</v>
      </c>
      <c r="AN130" s="225">
        <f t="shared" si="79"/>
        <v>1</v>
      </c>
      <c r="AO130" s="225" t="e">
        <f t="shared" si="79"/>
        <v>#N/A</v>
      </c>
      <c r="AP130" s="225" t="e">
        <f t="shared" si="79"/>
        <v>#N/A</v>
      </c>
    </row>
    <row r="131" spans="1:78" s="139" customFormat="1">
      <c r="A131" s="138" t="s">
        <v>16</v>
      </c>
      <c r="I131" s="144"/>
      <c r="J131" s="229">
        <f t="shared" ref="J131:AP131" si="80">IF(ISNA(J128),-1,IF(ISNA(J130),99,IF(ISNA(J129),J128,0)))</f>
        <v>0</v>
      </c>
      <c r="K131" s="229">
        <f t="shared" si="80"/>
        <v>1</v>
      </c>
      <c r="L131" s="229">
        <f t="shared" si="80"/>
        <v>1</v>
      </c>
      <c r="M131" s="229">
        <f t="shared" si="80"/>
        <v>0</v>
      </c>
      <c r="N131" s="229">
        <f t="shared" si="80"/>
        <v>2</v>
      </c>
      <c r="O131" s="229">
        <f t="shared" si="80"/>
        <v>0</v>
      </c>
      <c r="P131" s="229">
        <f t="shared" si="80"/>
        <v>3</v>
      </c>
      <c r="Q131" s="229">
        <f t="shared" si="80"/>
        <v>3</v>
      </c>
      <c r="R131" s="229">
        <f t="shared" si="80"/>
        <v>0</v>
      </c>
      <c r="S131" s="229">
        <f t="shared" si="80"/>
        <v>4</v>
      </c>
      <c r="T131" s="229">
        <f t="shared" si="80"/>
        <v>4</v>
      </c>
      <c r="U131" s="229">
        <f t="shared" si="80"/>
        <v>4</v>
      </c>
      <c r="V131" s="229">
        <f t="shared" si="80"/>
        <v>4</v>
      </c>
      <c r="W131" s="229">
        <f t="shared" si="80"/>
        <v>4</v>
      </c>
      <c r="X131" s="229">
        <f t="shared" si="80"/>
        <v>4</v>
      </c>
      <c r="Y131" s="229">
        <f t="shared" si="80"/>
        <v>4</v>
      </c>
      <c r="Z131" s="229">
        <f t="shared" si="80"/>
        <v>4</v>
      </c>
      <c r="AA131" s="229">
        <f t="shared" si="80"/>
        <v>4</v>
      </c>
      <c r="AB131" s="229">
        <f t="shared" si="80"/>
        <v>0</v>
      </c>
      <c r="AC131" s="229">
        <f t="shared" si="80"/>
        <v>5</v>
      </c>
      <c r="AD131" s="229">
        <f t="shared" si="80"/>
        <v>5</v>
      </c>
      <c r="AE131" s="229">
        <f t="shared" si="80"/>
        <v>5</v>
      </c>
      <c r="AF131" s="229">
        <f t="shared" si="80"/>
        <v>5</v>
      </c>
      <c r="AG131" s="229">
        <f t="shared" si="80"/>
        <v>5</v>
      </c>
      <c r="AH131" s="229">
        <f t="shared" si="80"/>
        <v>5</v>
      </c>
      <c r="AI131" s="229">
        <f t="shared" si="80"/>
        <v>5</v>
      </c>
      <c r="AJ131" s="229">
        <f t="shared" si="80"/>
        <v>5</v>
      </c>
      <c r="AK131" s="229">
        <f t="shared" si="80"/>
        <v>5</v>
      </c>
      <c r="AL131" s="229">
        <f t="shared" si="80"/>
        <v>0</v>
      </c>
      <c r="AM131" s="229">
        <f t="shared" si="80"/>
        <v>6</v>
      </c>
      <c r="AN131" s="229">
        <f t="shared" si="80"/>
        <v>0</v>
      </c>
      <c r="AO131" s="229">
        <f t="shared" si="80"/>
        <v>99</v>
      </c>
      <c r="AP131" s="229">
        <f t="shared" si="80"/>
        <v>99</v>
      </c>
      <c r="AR131" s="225"/>
      <c r="AS131" s="225"/>
      <c r="AT131" s="225"/>
      <c r="AU131" s="225"/>
      <c r="AV131" s="225"/>
      <c r="AW131" s="225"/>
      <c r="AX131" s="225"/>
      <c r="AY131" s="225"/>
      <c r="AZ131" s="225"/>
      <c r="BA131" s="225"/>
      <c r="BB131" s="225"/>
      <c r="BC131" s="225"/>
      <c r="BD131" s="225"/>
      <c r="BE131" s="225"/>
      <c r="BF131" s="225"/>
      <c r="BG131" s="225"/>
      <c r="BH131" s="225"/>
      <c r="BI131" s="225"/>
      <c r="BJ131" s="225"/>
      <c r="BK131" s="225"/>
      <c r="BL131" s="225"/>
      <c r="BM131" s="225"/>
      <c r="BN131" s="225"/>
      <c r="BO131" s="225"/>
      <c r="BP131" s="225"/>
      <c r="BQ131" s="225"/>
      <c r="BR131" s="225"/>
      <c r="BS131" s="225"/>
      <c r="BT131" s="225"/>
      <c r="BU131" s="225"/>
      <c r="BV131" s="225"/>
      <c r="BW131" s="225"/>
      <c r="BX131" s="225"/>
      <c r="BY131" s="225"/>
      <c r="BZ131" s="225"/>
    </row>
    <row r="132" spans="1:78">
      <c r="A132" s="41" t="s">
        <v>125</v>
      </c>
      <c r="B132" s="22" t="str">
        <f t="shared" ref="B132:B144" si="81">IF(A132="*","","COM_PROJ")</f>
        <v>COM_PROJ</v>
      </c>
      <c r="C132" s="23" t="str">
        <f t="shared" ref="C132:C144" si="82">IF($A132="*","","-")</f>
        <v>-</v>
      </c>
      <c r="D132" s="61" t="str">
        <f>ITEMS_TRA!C15</f>
        <v>TFLCV</v>
      </c>
      <c r="E132" s="23" t="str">
        <f t="shared" ref="E132:H144" si="83">IF($A132="*","","-")</f>
        <v>-</v>
      </c>
      <c r="F132" s="23" t="str">
        <f t="shared" si="83"/>
        <v>-</v>
      </c>
      <c r="G132" s="23" t="str">
        <f t="shared" si="83"/>
        <v>-</v>
      </c>
      <c r="H132" s="23" t="str">
        <f t="shared" si="83"/>
        <v>-</v>
      </c>
      <c r="I132" s="147">
        <f t="shared" ref="I132:I144" si="84">IF(A132="*","",0)</f>
        <v>0</v>
      </c>
      <c r="J132" s="226">
        <f t="shared" ref="J132:AP132" si="85">INDEX($K111:$AY111,MATCH(J$127,$K$106:$AY$106,0))</f>
        <v>43.11250375056882</v>
      </c>
      <c r="K132" s="226">
        <f t="shared" si="85"/>
        <v>43.541669167045889</v>
      </c>
      <c r="L132" s="226">
        <f t="shared" si="85"/>
        <v>43.970834583522958</v>
      </c>
      <c r="M132" s="226">
        <f t="shared" si="85"/>
        <v>44.4</v>
      </c>
      <c r="N132" s="226">
        <f t="shared" si="85"/>
        <v>44.871410582810697</v>
      </c>
      <c r="O132" s="226">
        <f t="shared" si="85"/>
        <v>45.342821165621402</v>
      </c>
      <c r="P132" s="226">
        <f t="shared" si="85"/>
        <v>44.791910090242503</v>
      </c>
      <c r="Q132" s="226">
        <f t="shared" si="85"/>
        <v>44.240999014863604</v>
      </c>
      <c r="R132" s="226">
        <f t="shared" si="85"/>
        <v>43.690087939484705</v>
      </c>
      <c r="S132" s="226">
        <f t="shared" si="85"/>
        <v>44.469492732584818</v>
      </c>
      <c r="T132" s="226">
        <f t="shared" si="85"/>
        <v>45.248897525684932</v>
      </c>
      <c r="U132" s="226">
        <f t="shared" si="85"/>
        <v>46.028302318785045</v>
      </c>
      <c r="V132" s="226">
        <f t="shared" si="85"/>
        <v>46.807707111885158</v>
      </c>
      <c r="W132" s="226">
        <f t="shared" si="85"/>
        <v>47.587111904985271</v>
      </c>
      <c r="X132" s="226">
        <f t="shared" si="85"/>
        <v>48.366516698085384</v>
      </c>
      <c r="Y132" s="226">
        <f t="shared" si="85"/>
        <v>49.145921491185497</v>
      </c>
      <c r="Z132" s="226">
        <f t="shared" si="85"/>
        <v>49.92532628428561</v>
      </c>
      <c r="AA132" s="226">
        <f t="shared" si="85"/>
        <v>50.704731077385723</v>
      </c>
      <c r="AB132" s="226">
        <f t="shared" si="85"/>
        <v>51.484135870485829</v>
      </c>
      <c r="AC132" s="226">
        <f t="shared" si="85"/>
        <v>52.778865712051854</v>
      </c>
      <c r="AD132" s="226">
        <f t="shared" si="85"/>
        <v>54.073595553617878</v>
      </c>
      <c r="AE132" s="226">
        <f t="shared" si="85"/>
        <v>55.368325395183902</v>
      </c>
      <c r="AF132" s="226">
        <f t="shared" si="85"/>
        <v>56.663055236749926</v>
      </c>
      <c r="AG132" s="226">
        <f t="shared" si="85"/>
        <v>57.95778507831595</v>
      </c>
      <c r="AH132" s="226">
        <f t="shared" si="85"/>
        <v>59.252514919881975</v>
      </c>
      <c r="AI132" s="226">
        <f t="shared" si="85"/>
        <v>60.547244761447999</v>
      </c>
      <c r="AJ132" s="226">
        <f t="shared" si="85"/>
        <v>61.841974603014023</v>
      </c>
      <c r="AK132" s="226">
        <f t="shared" si="85"/>
        <v>63.136704444580047</v>
      </c>
      <c r="AL132" s="226">
        <f t="shared" si="85"/>
        <v>64.431434286146057</v>
      </c>
      <c r="AM132" s="226">
        <f t="shared" si="85"/>
        <v>73.873852013619597</v>
      </c>
      <c r="AN132" s="226">
        <f t="shared" si="85"/>
        <v>83.316269741093109</v>
      </c>
      <c r="AO132" s="226">
        <f t="shared" si="85"/>
        <v>83.316269741093109</v>
      </c>
      <c r="AP132" s="226">
        <f t="shared" si="85"/>
        <v>83.316269741093109</v>
      </c>
    </row>
    <row r="133" spans="1:78">
      <c r="A133" s="41"/>
      <c r="B133" s="22" t="str">
        <f t="shared" si="81"/>
        <v>COM_PROJ</v>
      </c>
      <c r="C133" s="23" t="str">
        <f t="shared" si="82"/>
        <v>-</v>
      </c>
      <c r="D133" s="61" t="str">
        <f>ITEMS_TRA!C16</f>
        <v>TFHCV1</v>
      </c>
      <c r="E133" s="23" t="str">
        <f t="shared" si="83"/>
        <v>-</v>
      </c>
      <c r="F133" s="23" t="str">
        <f t="shared" si="83"/>
        <v>-</v>
      </c>
      <c r="G133" s="23" t="str">
        <f t="shared" si="83"/>
        <v>-</v>
      </c>
      <c r="H133" s="23" t="str">
        <f t="shared" si="83"/>
        <v>-</v>
      </c>
      <c r="I133" s="147">
        <f t="shared" si="84"/>
        <v>0</v>
      </c>
      <c r="J133" s="226">
        <f t="shared" ref="J133:AP133" si="86">INDEX($K112:$AY112,MATCH(J$127,$K$106:$AY$106,0))</f>
        <v>3.310563752317667</v>
      </c>
      <c r="K133" s="226">
        <f t="shared" si="86"/>
        <v>3.3405637523176668</v>
      </c>
      <c r="L133" s="226">
        <f t="shared" si="86"/>
        <v>3.3705637523176666</v>
      </c>
      <c r="M133" s="226">
        <f t="shared" si="86"/>
        <v>3.4</v>
      </c>
      <c r="N133" s="226">
        <f t="shared" si="86"/>
        <v>3.4249999999999998</v>
      </c>
      <c r="O133" s="226">
        <f t="shared" si="86"/>
        <v>3.45</v>
      </c>
      <c r="P133" s="226">
        <f t="shared" si="86"/>
        <v>3.4181148429418728</v>
      </c>
      <c r="Q133" s="226">
        <f t="shared" si="86"/>
        <v>3.3862296858837455</v>
      </c>
      <c r="R133" s="226">
        <f t="shared" si="86"/>
        <v>3.3543445288256182</v>
      </c>
      <c r="S133" s="226">
        <f t="shared" si="86"/>
        <v>3.4141840101994489</v>
      </c>
      <c r="T133" s="226">
        <f t="shared" si="86"/>
        <v>3.4740234915732797</v>
      </c>
      <c r="U133" s="226">
        <f t="shared" si="86"/>
        <v>3.5338629729471105</v>
      </c>
      <c r="V133" s="226">
        <f t="shared" si="86"/>
        <v>3.5937024543209413</v>
      </c>
      <c r="W133" s="226">
        <f t="shared" si="86"/>
        <v>3.653541935694772</v>
      </c>
      <c r="X133" s="226">
        <f t="shared" si="86"/>
        <v>3.7133814170686028</v>
      </c>
      <c r="Y133" s="226">
        <f t="shared" si="86"/>
        <v>3.7732208984424336</v>
      </c>
      <c r="Z133" s="226">
        <f t="shared" si="86"/>
        <v>3.8330603798162644</v>
      </c>
      <c r="AA133" s="226">
        <f t="shared" si="86"/>
        <v>3.8928998611900951</v>
      </c>
      <c r="AB133" s="226">
        <f t="shared" si="86"/>
        <v>3.9527393425639255</v>
      </c>
      <c r="AC133" s="226">
        <f t="shared" si="86"/>
        <v>4.0521433530657971</v>
      </c>
      <c r="AD133" s="226">
        <f t="shared" si="86"/>
        <v>4.1515473635676692</v>
      </c>
      <c r="AE133" s="226">
        <f t="shared" si="86"/>
        <v>4.2509513740695413</v>
      </c>
      <c r="AF133" s="226">
        <f t="shared" si="86"/>
        <v>4.3503553845714134</v>
      </c>
      <c r="AG133" s="226">
        <f t="shared" si="86"/>
        <v>4.4497593950732854</v>
      </c>
      <c r="AH133" s="226">
        <f t="shared" si="86"/>
        <v>4.5491634055751575</v>
      </c>
      <c r="AI133" s="226">
        <f t="shared" si="86"/>
        <v>4.6485674160770296</v>
      </c>
      <c r="AJ133" s="226">
        <f t="shared" si="86"/>
        <v>4.7479714265789017</v>
      </c>
      <c r="AK133" s="226">
        <f t="shared" si="86"/>
        <v>4.8473754370807738</v>
      </c>
      <c r="AL133" s="226">
        <f t="shared" si="86"/>
        <v>4.946779447582645</v>
      </c>
      <c r="AM133" s="226">
        <f t="shared" si="86"/>
        <v>5.6717292871642773</v>
      </c>
      <c r="AN133" s="226">
        <f t="shared" si="86"/>
        <v>6.3966791267459095</v>
      </c>
      <c r="AO133" s="226">
        <f t="shared" si="86"/>
        <v>6.3966791267459095</v>
      </c>
      <c r="AP133" s="226">
        <f t="shared" si="86"/>
        <v>6.3966791267459095</v>
      </c>
    </row>
    <row r="134" spans="1:78">
      <c r="A134" s="41"/>
      <c r="B134" s="22" t="str">
        <f t="shared" si="81"/>
        <v>COM_PROJ</v>
      </c>
      <c r="C134" s="23" t="str">
        <f t="shared" si="82"/>
        <v>-</v>
      </c>
      <c r="D134" s="61" t="str">
        <f>ITEMS_TRA!C17</f>
        <v>TFHCV2</v>
      </c>
      <c r="E134" s="23" t="str">
        <f t="shared" si="83"/>
        <v>-</v>
      </c>
      <c r="F134" s="23" t="str">
        <f t="shared" si="83"/>
        <v>-</v>
      </c>
      <c r="G134" s="23" t="str">
        <f t="shared" si="83"/>
        <v>-</v>
      </c>
      <c r="H134" s="23" t="str">
        <f t="shared" si="83"/>
        <v>-</v>
      </c>
      <c r="I134" s="147">
        <f t="shared" si="84"/>
        <v>0</v>
      </c>
      <c r="J134" s="226">
        <f t="shared" ref="J134:AP134" si="87">INDEX($K113:$AY113,MATCH(J$127,$K$106:$AY$106,0))</f>
        <v>0.6547839540708813</v>
      </c>
      <c r="K134" s="226">
        <f t="shared" si="87"/>
        <v>0.67123078144835724</v>
      </c>
      <c r="L134" s="226">
        <f t="shared" si="87"/>
        <v>0.68767760882583318</v>
      </c>
      <c r="M134" s="226">
        <f t="shared" si="87"/>
        <v>0.704124436203308</v>
      </c>
      <c r="N134" s="226">
        <f t="shared" si="87"/>
        <v>0.72006693722491655</v>
      </c>
      <c r="O134" s="226">
        <f t="shared" si="87"/>
        <v>0.73600943824652509</v>
      </c>
      <c r="P134" s="226">
        <f t="shared" si="87"/>
        <v>0.71185835398715591</v>
      </c>
      <c r="Q134" s="226">
        <f t="shared" si="87"/>
        <v>0.68770726972778673</v>
      </c>
      <c r="R134" s="226">
        <f t="shared" si="87"/>
        <v>0.66355618546841744</v>
      </c>
      <c r="S134" s="226">
        <f t="shared" si="87"/>
        <v>0.67539362722778529</v>
      </c>
      <c r="T134" s="226">
        <f t="shared" si="87"/>
        <v>0.68723106898715314</v>
      </c>
      <c r="U134" s="226">
        <f t="shared" si="87"/>
        <v>0.69906851074652099</v>
      </c>
      <c r="V134" s="226">
        <f t="shared" si="87"/>
        <v>0.71090595250588884</v>
      </c>
      <c r="W134" s="226">
        <f t="shared" si="87"/>
        <v>0.72274339426525669</v>
      </c>
      <c r="X134" s="226">
        <f t="shared" si="87"/>
        <v>0.73458083602462454</v>
      </c>
      <c r="Y134" s="226">
        <f t="shared" si="87"/>
        <v>0.74641827778399239</v>
      </c>
      <c r="Z134" s="226">
        <f t="shared" si="87"/>
        <v>0.75825571954336024</v>
      </c>
      <c r="AA134" s="226">
        <f t="shared" si="87"/>
        <v>0.77009316130272809</v>
      </c>
      <c r="AB134" s="226">
        <f t="shared" si="87"/>
        <v>0.78193060306209605</v>
      </c>
      <c r="AC134" s="226">
        <f t="shared" si="87"/>
        <v>0.8015946970339749</v>
      </c>
      <c r="AD134" s="226">
        <f t="shared" si="87"/>
        <v>0.82125879100585375</v>
      </c>
      <c r="AE134" s="226">
        <f t="shared" si="87"/>
        <v>0.8409228849777326</v>
      </c>
      <c r="AF134" s="226">
        <f t="shared" si="87"/>
        <v>0.86058697894961145</v>
      </c>
      <c r="AG134" s="226">
        <f t="shared" si="87"/>
        <v>0.8802510729214903</v>
      </c>
      <c r="AH134" s="226">
        <f t="shared" si="87"/>
        <v>0.89991516689336915</v>
      </c>
      <c r="AI134" s="226">
        <f t="shared" si="87"/>
        <v>0.91957926086524799</v>
      </c>
      <c r="AJ134" s="226">
        <f t="shared" si="87"/>
        <v>0.93924335483712684</v>
      </c>
      <c r="AK134" s="226">
        <f t="shared" si="87"/>
        <v>0.95890744880900569</v>
      </c>
      <c r="AL134" s="226">
        <f t="shared" si="87"/>
        <v>0.97857154278088487</v>
      </c>
      <c r="AM134" s="226">
        <f t="shared" si="87"/>
        <v>1.121981066184</v>
      </c>
      <c r="AN134" s="226">
        <f t="shared" si="87"/>
        <v>1.2653905895871151</v>
      </c>
      <c r="AO134" s="226">
        <f t="shared" si="87"/>
        <v>1.2653905895871151</v>
      </c>
      <c r="AP134" s="226">
        <f t="shared" si="87"/>
        <v>1.2653905895871151</v>
      </c>
    </row>
    <row r="135" spans="1:78">
      <c r="A135" s="41"/>
      <c r="B135" s="22" t="str">
        <f t="shared" si="81"/>
        <v>COM_PROJ</v>
      </c>
      <c r="C135" s="23" t="str">
        <f t="shared" si="82"/>
        <v>-</v>
      </c>
      <c r="D135" s="61" t="str">
        <f>ITEMS_TRA!C18</f>
        <v>TFHCV3</v>
      </c>
      <c r="E135" s="23" t="str">
        <f t="shared" si="83"/>
        <v>-</v>
      </c>
      <c r="F135" s="23" t="str">
        <f t="shared" si="83"/>
        <v>-</v>
      </c>
      <c r="G135" s="23" t="str">
        <f t="shared" si="83"/>
        <v>-</v>
      </c>
      <c r="H135" s="23" t="str">
        <f t="shared" si="83"/>
        <v>-</v>
      </c>
      <c r="I135" s="147">
        <f t="shared" si="84"/>
        <v>0</v>
      </c>
      <c r="J135" s="226">
        <f t="shared" ref="J135:AP135" si="88">INDEX($K114:$AY114,MATCH(J$127,$K$106:$AY$106,0))</f>
        <v>2.7114063478211388</v>
      </c>
      <c r="K135" s="226">
        <f t="shared" si="88"/>
        <v>2.7742708985474289</v>
      </c>
      <c r="L135" s="226">
        <f t="shared" si="88"/>
        <v>2.8371354492737191</v>
      </c>
      <c r="M135" s="226">
        <f t="shared" si="88"/>
        <v>2.9</v>
      </c>
      <c r="N135" s="226">
        <f t="shared" si="88"/>
        <v>2.9652984627095749</v>
      </c>
      <c r="O135" s="226">
        <f t="shared" si="88"/>
        <v>3.0305969254191498</v>
      </c>
      <c r="P135" s="226">
        <f t="shared" si="88"/>
        <v>2.9363084284503151</v>
      </c>
      <c r="Q135" s="226">
        <f t="shared" si="88"/>
        <v>2.8420199314814805</v>
      </c>
      <c r="R135" s="226">
        <f t="shared" si="88"/>
        <v>2.7477314345126458</v>
      </c>
      <c r="S135" s="226">
        <f t="shared" si="88"/>
        <v>2.7967493044967333</v>
      </c>
      <c r="T135" s="226">
        <f t="shared" si="88"/>
        <v>2.8457671744808208</v>
      </c>
      <c r="U135" s="226">
        <f t="shared" si="88"/>
        <v>2.8947850444649084</v>
      </c>
      <c r="V135" s="226">
        <f t="shared" si="88"/>
        <v>2.9438029144489959</v>
      </c>
      <c r="W135" s="226">
        <f t="shared" si="88"/>
        <v>2.9928207844330834</v>
      </c>
      <c r="X135" s="226">
        <f t="shared" si="88"/>
        <v>3.0418386544171709</v>
      </c>
      <c r="Y135" s="226">
        <f t="shared" si="88"/>
        <v>3.0908565244012585</v>
      </c>
      <c r="Z135" s="226">
        <f t="shared" si="88"/>
        <v>3.139874394385346</v>
      </c>
      <c r="AA135" s="226">
        <f t="shared" si="88"/>
        <v>3.1888922643694335</v>
      </c>
      <c r="AB135" s="226">
        <f t="shared" si="88"/>
        <v>3.2379101343535193</v>
      </c>
      <c r="AC135" s="226">
        <f t="shared" si="88"/>
        <v>3.3193375256144417</v>
      </c>
      <c r="AD135" s="226">
        <f t="shared" si="88"/>
        <v>3.4007649168753646</v>
      </c>
      <c r="AE135" s="226">
        <f t="shared" si="88"/>
        <v>3.4821923081362876</v>
      </c>
      <c r="AF135" s="226">
        <f t="shared" si="88"/>
        <v>3.5636196993972105</v>
      </c>
      <c r="AG135" s="226">
        <f t="shared" si="88"/>
        <v>3.6450470906581334</v>
      </c>
      <c r="AH135" s="226">
        <f t="shared" si="88"/>
        <v>3.7264744819190563</v>
      </c>
      <c r="AI135" s="226">
        <f t="shared" si="88"/>
        <v>3.8079018731799792</v>
      </c>
      <c r="AJ135" s="226">
        <f t="shared" si="88"/>
        <v>3.8893292644409021</v>
      </c>
      <c r="AK135" s="226">
        <f t="shared" si="88"/>
        <v>3.970756655701825</v>
      </c>
      <c r="AL135" s="226">
        <f t="shared" si="88"/>
        <v>4.0521840469627461</v>
      </c>
      <c r="AM135" s="226">
        <f t="shared" si="88"/>
        <v>4.6460310550876853</v>
      </c>
      <c r="AN135" s="226">
        <f t="shared" si="88"/>
        <v>5.2398780632126236</v>
      </c>
      <c r="AO135" s="226">
        <f t="shared" si="88"/>
        <v>5.2398780632126236</v>
      </c>
      <c r="AP135" s="226">
        <f t="shared" si="88"/>
        <v>5.2398780632126236</v>
      </c>
    </row>
    <row r="136" spans="1:78">
      <c r="A136" s="41"/>
      <c r="B136" s="22" t="str">
        <f t="shared" si="81"/>
        <v>COM_PROJ</v>
      </c>
      <c r="C136" s="23" t="str">
        <f t="shared" si="82"/>
        <v>-</v>
      </c>
      <c r="D136" s="61" t="str">
        <f>ITEMS_TRA!C19</f>
        <v>TFHCV4</v>
      </c>
      <c r="E136" s="23" t="str">
        <f t="shared" si="83"/>
        <v>-</v>
      </c>
      <c r="F136" s="23" t="str">
        <f t="shared" si="83"/>
        <v>-</v>
      </c>
      <c r="G136" s="23" t="str">
        <f t="shared" si="83"/>
        <v>-</v>
      </c>
      <c r="H136" s="23" t="str">
        <f t="shared" si="83"/>
        <v>-</v>
      </c>
      <c r="I136" s="147">
        <f t="shared" si="84"/>
        <v>0</v>
      </c>
      <c r="J136" s="226">
        <f t="shared" ref="J136:AP136" si="89">INDEX($K115:$AY115,MATCH(J$127,$K$106:$AY$106,0))</f>
        <v>0.57023972229676956</v>
      </c>
      <c r="K136" s="226">
        <f t="shared" si="89"/>
        <v>0.55900373411704862</v>
      </c>
      <c r="L136" s="226">
        <f t="shared" si="89"/>
        <v>0.54776774593732769</v>
      </c>
      <c r="M136" s="226">
        <f t="shared" si="89"/>
        <v>0.53653175775760331</v>
      </c>
      <c r="N136" s="226">
        <f t="shared" si="89"/>
        <v>0.54016937887880168</v>
      </c>
      <c r="O136" s="226">
        <f t="shared" si="89"/>
        <v>0.54380700000000004</v>
      </c>
      <c r="P136" s="226">
        <f t="shared" si="89"/>
        <v>0.55516443430062412</v>
      </c>
      <c r="Q136" s="226">
        <f t="shared" si="89"/>
        <v>0.5665218686012482</v>
      </c>
      <c r="R136" s="226">
        <f t="shared" si="89"/>
        <v>0.57787930290187217</v>
      </c>
      <c r="S136" s="226">
        <f t="shared" si="89"/>
        <v>0.58818832079945393</v>
      </c>
      <c r="T136" s="226">
        <f t="shared" si="89"/>
        <v>0.5984973386970357</v>
      </c>
      <c r="U136" s="226">
        <f t="shared" si="89"/>
        <v>0.60880635659461746</v>
      </c>
      <c r="V136" s="226">
        <f t="shared" si="89"/>
        <v>0.61911537449219922</v>
      </c>
      <c r="W136" s="226">
        <f t="shared" si="89"/>
        <v>0.62942439238978098</v>
      </c>
      <c r="X136" s="226">
        <f t="shared" si="89"/>
        <v>0.63973341028736275</v>
      </c>
      <c r="Y136" s="226">
        <f t="shared" si="89"/>
        <v>0.65004242818494451</v>
      </c>
      <c r="Z136" s="226">
        <f t="shared" si="89"/>
        <v>0.66035144608252627</v>
      </c>
      <c r="AA136" s="226">
        <f t="shared" si="89"/>
        <v>0.67066046398010803</v>
      </c>
      <c r="AB136" s="226">
        <f t="shared" si="89"/>
        <v>0.68096948187769013</v>
      </c>
      <c r="AC136" s="226">
        <f t="shared" si="89"/>
        <v>0.69809459225345216</v>
      </c>
      <c r="AD136" s="226">
        <f t="shared" si="89"/>
        <v>0.71521970262921419</v>
      </c>
      <c r="AE136" s="226">
        <f t="shared" si="89"/>
        <v>0.73234481300497623</v>
      </c>
      <c r="AF136" s="226">
        <f t="shared" si="89"/>
        <v>0.74946992338073826</v>
      </c>
      <c r="AG136" s="226">
        <f t="shared" si="89"/>
        <v>0.76659503375650029</v>
      </c>
      <c r="AH136" s="226">
        <f t="shared" si="89"/>
        <v>0.78372014413226232</v>
      </c>
      <c r="AI136" s="226">
        <f t="shared" si="89"/>
        <v>0.80084525450802435</v>
      </c>
      <c r="AJ136" s="226">
        <f t="shared" si="89"/>
        <v>0.81797036488378638</v>
      </c>
      <c r="AK136" s="226">
        <f t="shared" si="89"/>
        <v>0.83509547525954841</v>
      </c>
      <c r="AL136" s="226">
        <f t="shared" si="89"/>
        <v>0.85222058563531033</v>
      </c>
      <c r="AM136" s="226">
        <f t="shared" si="89"/>
        <v>0.97711339385347196</v>
      </c>
      <c r="AN136" s="226">
        <f t="shared" si="89"/>
        <v>1.1020062020716337</v>
      </c>
      <c r="AO136" s="226">
        <f t="shared" si="89"/>
        <v>1.1020062020716337</v>
      </c>
      <c r="AP136" s="226">
        <f t="shared" si="89"/>
        <v>1.1020062020716337</v>
      </c>
    </row>
    <row r="137" spans="1:78">
      <c r="A137" s="41"/>
      <c r="B137" s="22" t="str">
        <f t="shared" si="81"/>
        <v>COM_PROJ</v>
      </c>
      <c r="C137" s="23" t="str">
        <f t="shared" si="82"/>
        <v>-</v>
      </c>
      <c r="D137" s="61" t="str">
        <f>ITEMS_TRA!C20</f>
        <v>TFHCV5</v>
      </c>
      <c r="E137" s="23" t="str">
        <f t="shared" si="83"/>
        <v>-</v>
      </c>
      <c r="F137" s="23" t="str">
        <f t="shared" si="83"/>
        <v>-</v>
      </c>
      <c r="G137" s="23" t="str">
        <f t="shared" si="83"/>
        <v>-</v>
      </c>
      <c r="H137" s="23" t="str">
        <f t="shared" si="83"/>
        <v>-</v>
      </c>
      <c r="I137" s="147">
        <f t="shared" si="84"/>
        <v>0</v>
      </c>
      <c r="J137" s="226">
        <f t="shared" ref="J137:AP137" si="90">INDEX($K116:$AY116,MATCH(J$127,$K$106:$AY$106,0))</f>
        <v>0.27326501935541331</v>
      </c>
      <c r="K137" s="226">
        <f t="shared" si="90"/>
        <v>0.27740453823694228</v>
      </c>
      <c r="L137" s="226">
        <f t="shared" si="90"/>
        <v>0.28154405711847125</v>
      </c>
      <c r="M137" s="226">
        <f t="shared" si="90"/>
        <v>0.28568357599999999</v>
      </c>
      <c r="N137" s="226">
        <f t="shared" si="90"/>
        <v>0.2876204765</v>
      </c>
      <c r="O137" s="226">
        <f t="shared" si="90"/>
        <v>0.289557377</v>
      </c>
      <c r="P137" s="226">
        <f t="shared" si="90"/>
        <v>0.28534691423305703</v>
      </c>
      <c r="Q137" s="226">
        <f t="shared" si="90"/>
        <v>0.28113645146611405</v>
      </c>
      <c r="R137" s="226">
        <f t="shared" si="90"/>
        <v>0.27692598869917107</v>
      </c>
      <c r="S137" s="226">
        <f t="shared" si="90"/>
        <v>0.28186618115712808</v>
      </c>
      <c r="T137" s="226">
        <f t="shared" si="90"/>
        <v>0.2868063736150851</v>
      </c>
      <c r="U137" s="226">
        <f t="shared" si="90"/>
        <v>0.29174656607304211</v>
      </c>
      <c r="V137" s="226">
        <f t="shared" si="90"/>
        <v>0.29668675853099913</v>
      </c>
      <c r="W137" s="226">
        <f t="shared" si="90"/>
        <v>0.30162695098895614</v>
      </c>
      <c r="X137" s="226">
        <f t="shared" si="90"/>
        <v>0.30656714344691316</v>
      </c>
      <c r="Y137" s="226">
        <f t="shared" si="90"/>
        <v>0.31150733590487018</v>
      </c>
      <c r="Z137" s="226">
        <f t="shared" si="90"/>
        <v>0.31644752836282719</v>
      </c>
      <c r="AA137" s="226">
        <f t="shared" si="90"/>
        <v>0.32138772082078421</v>
      </c>
      <c r="AB137" s="226">
        <f t="shared" si="90"/>
        <v>0.32632791327874133</v>
      </c>
      <c r="AC137" s="226">
        <f t="shared" si="90"/>
        <v>0.33453445069680771</v>
      </c>
      <c r="AD137" s="226">
        <f t="shared" si="90"/>
        <v>0.34274098811487408</v>
      </c>
      <c r="AE137" s="226">
        <f t="shared" si="90"/>
        <v>0.35094752553294045</v>
      </c>
      <c r="AF137" s="226">
        <f t="shared" si="90"/>
        <v>0.35915406295100682</v>
      </c>
      <c r="AG137" s="226">
        <f t="shared" si="90"/>
        <v>0.3673606003690732</v>
      </c>
      <c r="AH137" s="226">
        <f t="shared" si="90"/>
        <v>0.37556713778713957</v>
      </c>
      <c r="AI137" s="226">
        <f t="shared" si="90"/>
        <v>0.38377367520520594</v>
      </c>
      <c r="AJ137" s="226">
        <f t="shared" si="90"/>
        <v>0.39198021262327232</v>
      </c>
      <c r="AK137" s="226">
        <f t="shared" si="90"/>
        <v>0.40018675004133869</v>
      </c>
      <c r="AL137" s="226">
        <f t="shared" si="90"/>
        <v>0.40839328745940517</v>
      </c>
      <c r="AM137" s="226">
        <f t="shared" si="90"/>
        <v>0.46824326689897561</v>
      </c>
      <c r="AN137" s="226">
        <f t="shared" si="90"/>
        <v>0.52809324633854615</v>
      </c>
      <c r="AO137" s="226">
        <f t="shared" si="90"/>
        <v>0.52809324633854615</v>
      </c>
      <c r="AP137" s="226">
        <f t="shared" si="90"/>
        <v>0.52809324633854615</v>
      </c>
    </row>
    <row r="138" spans="1:78">
      <c r="A138" s="41"/>
      <c r="B138" s="22" t="str">
        <f t="shared" si="81"/>
        <v>COM_PROJ</v>
      </c>
      <c r="C138" s="23" t="str">
        <f t="shared" si="82"/>
        <v>-</v>
      </c>
      <c r="D138" s="61" t="str">
        <f>ITEMS_TRA!C21</f>
        <v>TFHCV6</v>
      </c>
      <c r="E138" s="23" t="str">
        <f t="shared" si="83"/>
        <v>-</v>
      </c>
      <c r="F138" s="23" t="str">
        <f t="shared" si="83"/>
        <v>-</v>
      </c>
      <c r="G138" s="23" t="str">
        <f t="shared" si="83"/>
        <v>-</v>
      </c>
      <c r="H138" s="23" t="str">
        <f t="shared" si="83"/>
        <v>-</v>
      </c>
      <c r="I138" s="147">
        <f t="shared" si="84"/>
        <v>0</v>
      </c>
      <c r="J138" s="226">
        <f t="shared" ref="J138:AP138" si="91">INDEX($K117:$AY117,MATCH(J$127,$K$106:$AY$106,0))</f>
        <v>5.0361375113209643</v>
      </c>
      <c r="K138" s="226">
        <f t="shared" si="91"/>
        <v>5.3607583408806443</v>
      </c>
      <c r="L138" s="226">
        <f t="shared" si="91"/>
        <v>5.6853791704403243</v>
      </c>
      <c r="M138" s="226">
        <f t="shared" si="91"/>
        <v>6.01</v>
      </c>
      <c r="N138" s="226">
        <f t="shared" si="91"/>
        <v>6.3253919226144593</v>
      </c>
      <c r="O138" s="226">
        <f t="shared" si="91"/>
        <v>6.6407838452289196</v>
      </c>
      <c r="P138" s="226">
        <f t="shared" si="91"/>
        <v>6.1283916780391117</v>
      </c>
      <c r="Q138" s="226">
        <f t="shared" si="91"/>
        <v>5.6159995108493037</v>
      </c>
      <c r="R138" s="226">
        <f t="shared" si="91"/>
        <v>5.1036073436594949</v>
      </c>
      <c r="S138" s="226">
        <f t="shared" si="91"/>
        <v>5.1946526176186314</v>
      </c>
      <c r="T138" s="226">
        <f t="shared" si="91"/>
        <v>5.2856978915777679</v>
      </c>
      <c r="U138" s="226">
        <f t="shared" si="91"/>
        <v>5.3767431655369045</v>
      </c>
      <c r="V138" s="226">
        <f t="shared" si="91"/>
        <v>5.467788439496041</v>
      </c>
      <c r="W138" s="226">
        <f t="shared" si="91"/>
        <v>5.5588337134551775</v>
      </c>
      <c r="X138" s="226">
        <f t="shared" si="91"/>
        <v>5.649878987414314</v>
      </c>
      <c r="Y138" s="226">
        <f t="shared" si="91"/>
        <v>5.7409242613734506</v>
      </c>
      <c r="Z138" s="226">
        <f t="shared" si="91"/>
        <v>5.8319695353325871</v>
      </c>
      <c r="AA138" s="226">
        <f t="shared" si="91"/>
        <v>5.9230148092917236</v>
      </c>
      <c r="AB138" s="226">
        <f t="shared" si="91"/>
        <v>6.0140600832508566</v>
      </c>
      <c r="AC138" s="226">
        <f t="shared" si="91"/>
        <v>6.1653024597053037</v>
      </c>
      <c r="AD138" s="226">
        <f t="shared" si="91"/>
        <v>6.3165448361597507</v>
      </c>
      <c r="AE138" s="226">
        <f t="shared" si="91"/>
        <v>6.4677872126141978</v>
      </c>
      <c r="AF138" s="226">
        <f t="shared" si="91"/>
        <v>6.6190295890686448</v>
      </c>
      <c r="AG138" s="226">
        <f t="shared" si="91"/>
        <v>6.7702719655230919</v>
      </c>
      <c r="AH138" s="226">
        <f t="shared" si="91"/>
        <v>6.9215143419775389</v>
      </c>
      <c r="AI138" s="226">
        <f t="shared" si="91"/>
        <v>7.0727567184319859</v>
      </c>
      <c r="AJ138" s="226">
        <f t="shared" si="91"/>
        <v>7.223999094886433</v>
      </c>
      <c r="AK138" s="226">
        <f t="shared" si="91"/>
        <v>7.37524147134088</v>
      </c>
      <c r="AL138" s="226">
        <f t="shared" si="91"/>
        <v>7.5264838477953289</v>
      </c>
      <c r="AM138" s="226">
        <f t="shared" si="91"/>
        <v>8.6294890082011193</v>
      </c>
      <c r="AN138" s="226">
        <f t="shared" si="91"/>
        <v>9.7324941686069124</v>
      </c>
      <c r="AO138" s="226">
        <f t="shared" si="91"/>
        <v>9.7324941686069124</v>
      </c>
      <c r="AP138" s="226">
        <f t="shared" si="91"/>
        <v>9.7324941686069124</v>
      </c>
    </row>
    <row r="139" spans="1:78">
      <c r="A139" s="41"/>
      <c r="B139" s="22" t="str">
        <f t="shared" si="81"/>
        <v>COM_PROJ</v>
      </c>
      <c r="C139" s="23" t="str">
        <f t="shared" si="82"/>
        <v>-</v>
      </c>
      <c r="D139" s="61" t="str">
        <f>ITEMS_TRA!C22</f>
        <v>TFHCV7</v>
      </c>
      <c r="E139" s="23" t="str">
        <f t="shared" si="83"/>
        <v>-</v>
      </c>
      <c r="F139" s="23" t="str">
        <f t="shared" si="83"/>
        <v>-</v>
      </c>
      <c r="G139" s="23" t="str">
        <f t="shared" si="83"/>
        <v>-</v>
      </c>
      <c r="H139" s="23" t="str">
        <f t="shared" si="83"/>
        <v>-</v>
      </c>
      <c r="I139" s="147">
        <f t="shared" si="84"/>
        <v>0</v>
      </c>
      <c r="J139" s="226">
        <f t="shared" ref="J139:AP139" si="92">INDEX($K118:$AY118,MATCH(J$127,$K$106:$AY$106,0))</f>
        <v>1.5653068685251963</v>
      </c>
      <c r="K139" s="226">
        <f t="shared" si="92"/>
        <v>1.6102045790167996</v>
      </c>
      <c r="L139" s="226">
        <f t="shared" si="92"/>
        <v>1.6551022895084029</v>
      </c>
      <c r="M139" s="226">
        <f t="shared" si="92"/>
        <v>1.7</v>
      </c>
      <c r="N139" s="226">
        <f t="shared" si="92"/>
        <v>1.74</v>
      </c>
      <c r="O139" s="226">
        <f t="shared" si="92"/>
        <v>1.78</v>
      </c>
      <c r="P139" s="226">
        <f t="shared" si="92"/>
        <v>1.7154258338741826</v>
      </c>
      <c r="Q139" s="226">
        <f t="shared" si="92"/>
        <v>1.6508516677483651</v>
      </c>
      <c r="R139" s="226">
        <f t="shared" si="92"/>
        <v>1.5862775016225477</v>
      </c>
      <c r="S139" s="226">
        <f t="shared" si="92"/>
        <v>1.6145757346145242</v>
      </c>
      <c r="T139" s="226">
        <f t="shared" si="92"/>
        <v>1.6428739676065007</v>
      </c>
      <c r="U139" s="226">
        <f t="shared" si="92"/>
        <v>1.6711722005984773</v>
      </c>
      <c r="V139" s="226">
        <f t="shared" si="92"/>
        <v>1.6994704335904538</v>
      </c>
      <c r="W139" s="226">
        <f t="shared" si="92"/>
        <v>1.7277686665824303</v>
      </c>
      <c r="X139" s="226">
        <f t="shared" si="92"/>
        <v>1.7560668995744069</v>
      </c>
      <c r="Y139" s="226">
        <f t="shared" si="92"/>
        <v>1.7843651325663834</v>
      </c>
      <c r="Z139" s="226">
        <f t="shared" si="92"/>
        <v>1.8126633655583599</v>
      </c>
      <c r="AA139" s="226">
        <f t="shared" si="92"/>
        <v>1.8409615985503365</v>
      </c>
      <c r="AB139" s="226">
        <f t="shared" si="92"/>
        <v>1.8692598315423132</v>
      </c>
      <c r="AC139" s="226">
        <f t="shared" si="92"/>
        <v>1.9162682244116578</v>
      </c>
      <c r="AD139" s="226">
        <f t="shared" si="92"/>
        <v>1.9632766172810023</v>
      </c>
      <c r="AE139" s="226">
        <f t="shared" si="92"/>
        <v>2.0102850101503469</v>
      </c>
      <c r="AF139" s="226">
        <f t="shared" si="92"/>
        <v>2.0572934030196914</v>
      </c>
      <c r="AG139" s="226">
        <f t="shared" si="92"/>
        <v>2.104301795889036</v>
      </c>
      <c r="AH139" s="226">
        <f t="shared" si="92"/>
        <v>2.1513101887583805</v>
      </c>
      <c r="AI139" s="226">
        <f t="shared" si="92"/>
        <v>2.1983185816277251</v>
      </c>
      <c r="AJ139" s="226">
        <f t="shared" si="92"/>
        <v>2.2453269744970696</v>
      </c>
      <c r="AK139" s="226">
        <f t="shared" si="92"/>
        <v>2.2923353673664142</v>
      </c>
      <c r="AL139" s="226">
        <f t="shared" si="92"/>
        <v>2.3393437602357587</v>
      </c>
      <c r="AM139" s="226">
        <f t="shared" si="92"/>
        <v>2.6821742627231799</v>
      </c>
      <c r="AN139" s="226">
        <f t="shared" si="92"/>
        <v>3.0250047652106011</v>
      </c>
      <c r="AO139" s="226">
        <f t="shared" si="92"/>
        <v>3.0250047652106011</v>
      </c>
      <c r="AP139" s="226">
        <f t="shared" si="92"/>
        <v>3.0250047652106011</v>
      </c>
    </row>
    <row r="140" spans="1:78">
      <c r="A140" s="41" t="s">
        <v>125</v>
      </c>
      <c r="B140" s="22" t="str">
        <f t="shared" si="81"/>
        <v>COM_PROJ</v>
      </c>
      <c r="C140" s="23" t="str">
        <f t="shared" si="82"/>
        <v>-</v>
      </c>
      <c r="D140" s="61" t="str">
        <f>ITEMS_TRA!C23</f>
        <v>TFHCV8</v>
      </c>
      <c r="E140" s="23" t="str">
        <f t="shared" si="83"/>
        <v>-</v>
      </c>
      <c r="F140" s="23" t="str">
        <f t="shared" si="83"/>
        <v>-</v>
      </c>
      <c r="G140" s="23" t="str">
        <f t="shared" si="83"/>
        <v>-</v>
      </c>
      <c r="H140" s="23" t="str">
        <f t="shared" si="83"/>
        <v>-</v>
      </c>
      <c r="I140" s="147">
        <f t="shared" si="84"/>
        <v>0</v>
      </c>
      <c r="J140" s="226">
        <f t="shared" ref="J140:AP140" si="93">INDEX($K119:$AY119,MATCH(J$127,$K$106:$AY$106,0))</f>
        <v>5.8486156921973939E-2</v>
      </c>
      <c r="K140" s="226">
        <f t="shared" si="93"/>
        <v>6.5622085483256903E-2</v>
      </c>
      <c r="L140" s="226">
        <f t="shared" si="93"/>
        <v>7.2758014044539868E-2</v>
      </c>
      <c r="M140" s="226">
        <f t="shared" si="93"/>
        <v>7.9893942605822804E-2</v>
      </c>
      <c r="N140" s="226">
        <f t="shared" si="93"/>
        <v>9.0970063028559395E-2</v>
      </c>
      <c r="O140" s="226">
        <f t="shared" si="93"/>
        <v>0.102046183451296</v>
      </c>
      <c r="P140" s="226">
        <f t="shared" si="93"/>
        <v>8.7787356992028109E-2</v>
      </c>
      <c r="Q140" s="226">
        <f t="shared" si="93"/>
        <v>7.3528530532760233E-2</v>
      </c>
      <c r="R140" s="226">
        <f t="shared" si="93"/>
        <v>5.9269704073492351E-2</v>
      </c>
      <c r="S140" s="226">
        <f t="shared" si="93"/>
        <v>6.0327039812996697E-2</v>
      </c>
      <c r="T140" s="226">
        <f t="shared" si="93"/>
        <v>6.138437555250105E-2</v>
      </c>
      <c r="U140" s="226">
        <f t="shared" si="93"/>
        <v>6.2441711292005403E-2</v>
      </c>
      <c r="V140" s="226">
        <f t="shared" si="93"/>
        <v>6.3499047031509756E-2</v>
      </c>
      <c r="W140" s="226">
        <f t="shared" si="93"/>
        <v>6.4556382771014109E-2</v>
      </c>
      <c r="X140" s="226">
        <f t="shared" si="93"/>
        <v>6.5613718510518462E-2</v>
      </c>
      <c r="Y140" s="226">
        <f t="shared" si="93"/>
        <v>6.6671054250022815E-2</v>
      </c>
      <c r="Z140" s="226">
        <f t="shared" si="93"/>
        <v>6.7728389989527168E-2</v>
      </c>
      <c r="AA140" s="226">
        <f t="shared" si="93"/>
        <v>6.8785725729031522E-2</v>
      </c>
      <c r="AB140" s="226">
        <f t="shared" si="93"/>
        <v>6.9843061468535847E-2</v>
      </c>
      <c r="AC140" s="226">
        <f t="shared" si="93"/>
        <v>7.1599483993274829E-2</v>
      </c>
      <c r="AD140" s="226">
        <f t="shared" si="93"/>
        <v>7.3355906518013811E-2</v>
      </c>
      <c r="AE140" s="226">
        <f t="shared" si="93"/>
        <v>7.5112329042752793E-2</v>
      </c>
      <c r="AF140" s="226">
        <f t="shared" si="93"/>
        <v>7.6868751567491775E-2</v>
      </c>
      <c r="AG140" s="226">
        <f t="shared" si="93"/>
        <v>7.8625174092230757E-2</v>
      </c>
      <c r="AH140" s="226">
        <f t="shared" si="93"/>
        <v>8.0381596616969739E-2</v>
      </c>
      <c r="AI140" s="226">
        <f t="shared" si="93"/>
        <v>8.2138019141708721E-2</v>
      </c>
      <c r="AJ140" s="226">
        <f t="shared" si="93"/>
        <v>8.3894441666447703E-2</v>
      </c>
      <c r="AK140" s="226">
        <f t="shared" si="93"/>
        <v>8.5650864191186685E-2</v>
      </c>
      <c r="AL140" s="226">
        <f t="shared" si="93"/>
        <v>8.7407286715925653E-2</v>
      </c>
      <c r="AM140" s="226">
        <f t="shared" si="93"/>
        <v>0.10021681241934896</v>
      </c>
      <c r="AN140" s="226">
        <f t="shared" si="93"/>
        <v>0.11302633812277227</v>
      </c>
      <c r="AO140" s="226">
        <f t="shared" si="93"/>
        <v>0.11302633812277227</v>
      </c>
      <c r="AP140" s="226">
        <f t="shared" si="93"/>
        <v>0.11302633812277227</v>
      </c>
    </row>
    <row r="141" spans="1:78">
      <c r="A141" s="41" t="s">
        <v>125</v>
      </c>
      <c r="B141" s="22" t="str">
        <f t="shared" si="81"/>
        <v>COM_PROJ</v>
      </c>
      <c r="C141" s="23" t="str">
        <f t="shared" si="82"/>
        <v>-</v>
      </c>
      <c r="D141" s="61" t="str">
        <f>ITEMS_TRA!C24</f>
        <v>TFHCV9</v>
      </c>
      <c r="E141" s="23" t="str">
        <f t="shared" si="83"/>
        <v>-</v>
      </c>
      <c r="F141" s="23" t="str">
        <f t="shared" si="83"/>
        <v>-</v>
      </c>
      <c r="G141" s="23" t="str">
        <f t="shared" si="83"/>
        <v>-</v>
      </c>
      <c r="H141" s="23" t="str">
        <f t="shared" si="83"/>
        <v>-</v>
      </c>
      <c r="I141" s="147">
        <f t="shared" si="84"/>
        <v>0</v>
      </c>
      <c r="J141" s="226">
        <f t="shared" ref="J141:AP141" si="94">INDEX($K120:$AY120,MATCH(J$127,$K$106:$AY$106,0))</f>
        <v>3.9969372950314989E-2</v>
      </c>
      <c r="K141" s="226">
        <f t="shared" si="94"/>
        <v>3.4102559292729893E-2</v>
      </c>
      <c r="L141" s="226">
        <f t="shared" si="94"/>
        <v>2.8235745635144794E-2</v>
      </c>
      <c r="M141" s="226">
        <f t="shared" si="94"/>
        <v>2.2368931977559604E-2</v>
      </c>
      <c r="N141" s="226">
        <f t="shared" si="94"/>
        <v>2.2519965988779801E-2</v>
      </c>
      <c r="O141" s="226">
        <f t="shared" si="94"/>
        <v>2.2670999999999997E-2</v>
      </c>
      <c r="P141" s="226">
        <f t="shared" si="94"/>
        <v>2.8615616060068422E-2</v>
      </c>
      <c r="Q141" s="226">
        <f t="shared" si="94"/>
        <v>3.4560232120136848E-2</v>
      </c>
      <c r="R141" s="226">
        <f t="shared" si="94"/>
        <v>4.050484818020527E-2</v>
      </c>
      <c r="S141" s="226">
        <f t="shared" si="94"/>
        <v>4.122743021893157E-2</v>
      </c>
      <c r="T141" s="226">
        <f t="shared" si="94"/>
        <v>4.1950012257657869E-2</v>
      </c>
      <c r="U141" s="226">
        <f t="shared" si="94"/>
        <v>4.2672594296384168E-2</v>
      </c>
      <c r="V141" s="226">
        <f t="shared" si="94"/>
        <v>4.3395176335110468E-2</v>
      </c>
      <c r="W141" s="226">
        <f t="shared" si="94"/>
        <v>4.4117758373836767E-2</v>
      </c>
      <c r="X141" s="226">
        <f t="shared" si="94"/>
        <v>4.4840340412563066E-2</v>
      </c>
      <c r="Y141" s="226">
        <f t="shared" si="94"/>
        <v>4.5562922451289366E-2</v>
      </c>
      <c r="Z141" s="226">
        <f t="shared" si="94"/>
        <v>4.6285504490015665E-2</v>
      </c>
      <c r="AA141" s="226">
        <f t="shared" si="94"/>
        <v>4.7008086528741964E-2</v>
      </c>
      <c r="AB141" s="226">
        <f t="shared" si="94"/>
        <v>4.7730668567468292E-2</v>
      </c>
      <c r="AC141" s="226">
        <f t="shared" si="94"/>
        <v>4.893100571807444E-2</v>
      </c>
      <c r="AD141" s="226">
        <f t="shared" si="94"/>
        <v>5.0131342868680588E-2</v>
      </c>
      <c r="AE141" s="226">
        <f t="shared" si="94"/>
        <v>5.1331680019286736E-2</v>
      </c>
      <c r="AF141" s="226">
        <f t="shared" si="94"/>
        <v>5.2532017169892885E-2</v>
      </c>
      <c r="AG141" s="226">
        <f t="shared" si="94"/>
        <v>5.3732354320499033E-2</v>
      </c>
      <c r="AH141" s="226">
        <f t="shared" si="94"/>
        <v>5.4932691471105181E-2</v>
      </c>
      <c r="AI141" s="226">
        <f t="shared" si="94"/>
        <v>5.613302862171133E-2</v>
      </c>
      <c r="AJ141" s="226">
        <f t="shared" si="94"/>
        <v>5.7333365772317478E-2</v>
      </c>
      <c r="AK141" s="226">
        <f t="shared" si="94"/>
        <v>5.8533702922923626E-2</v>
      </c>
      <c r="AL141" s="226">
        <f t="shared" si="94"/>
        <v>5.9734040073529754E-2</v>
      </c>
      <c r="AM141" s="226">
        <f t="shared" si="94"/>
        <v>6.848805533289809E-2</v>
      </c>
      <c r="AN141" s="226">
        <f t="shared" si="94"/>
        <v>7.724207059226644E-2</v>
      </c>
      <c r="AO141" s="226">
        <f t="shared" si="94"/>
        <v>7.724207059226644E-2</v>
      </c>
      <c r="AP141" s="226">
        <f t="shared" si="94"/>
        <v>7.724207059226644E-2</v>
      </c>
    </row>
    <row r="142" spans="1:78">
      <c r="A142" s="41" t="s">
        <v>125</v>
      </c>
      <c r="B142" s="22" t="str">
        <f t="shared" si="81"/>
        <v>COM_PROJ</v>
      </c>
      <c r="C142" s="23" t="str">
        <f t="shared" si="82"/>
        <v>-</v>
      </c>
      <c r="D142" s="61" t="str">
        <f>ITEMS_TRA!C25</f>
        <v>TFRCO</v>
      </c>
      <c r="E142" s="23" t="str">
        <f t="shared" si="83"/>
        <v>-</v>
      </c>
      <c r="F142" s="23" t="str">
        <f t="shared" si="83"/>
        <v>-</v>
      </c>
      <c r="G142" s="23" t="str">
        <f t="shared" si="83"/>
        <v>-</v>
      </c>
      <c r="H142" s="23" t="str">
        <f t="shared" si="83"/>
        <v>-</v>
      </c>
      <c r="I142" s="147">
        <f t="shared" si="84"/>
        <v>0</v>
      </c>
      <c r="J142" s="226">
        <f t="shared" ref="J142:AP142" si="95">INDEX($K121:$AY121,MATCH(J$127,$K$106:$AY$106,0))</f>
        <v>22</v>
      </c>
      <c r="K142" s="226">
        <f t="shared" si="95"/>
        <v>22.352445526032653</v>
      </c>
      <c r="L142" s="226">
        <f t="shared" si="95"/>
        <v>22.704891052065307</v>
      </c>
      <c r="M142" s="226">
        <f t="shared" si="95"/>
        <v>23.057336578097956</v>
      </c>
      <c r="N142" s="226">
        <f t="shared" si="95"/>
        <v>23.249070137552081</v>
      </c>
      <c r="O142" s="226">
        <f t="shared" si="95"/>
        <v>23.44080369700621</v>
      </c>
      <c r="P142" s="226">
        <f t="shared" si="95"/>
        <v>23.058781481202889</v>
      </c>
      <c r="Q142" s="226">
        <f t="shared" si="95"/>
        <v>22.676759265399568</v>
      </c>
      <c r="R142" s="226">
        <f t="shared" si="95"/>
        <v>22.294737049596247</v>
      </c>
      <c r="S142" s="226">
        <f t="shared" si="95"/>
        <v>22.692461699210831</v>
      </c>
      <c r="T142" s="226">
        <f t="shared" si="95"/>
        <v>23.090186348825416</v>
      </c>
      <c r="U142" s="226">
        <f t="shared" si="95"/>
        <v>23.48791099844</v>
      </c>
      <c r="V142" s="226">
        <f t="shared" si="95"/>
        <v>23.885635648054585</v>
      </c>
      <c r="W142" s="226">
        <f t="shared" si="95"/>
        <v>24.283360297669169</v>
      </c>
      <c r="X142" s="226">
        <f t="shared" si="95"/>
        <v>24.681084947283754</v>
      </c>
      <c r="Y142" s="226">
        <f t="shared" si="95"/>
        <v>25.078809596898338</v>
      </c>
      <c r="Z142" s="226">
        <f t="shared" si="95"/>
        <v>25.476534246512923</v>
      </c>
      <c r="AA142" s="226">
        <f t="shared" si="95"/>
        <v>25.874258896127508</v>
      </c>
      <c r="AB142" s="226">
        <f t="shared" si="95"/>
        <v>26.271983545742096</v>
      </c>
      <c r="AC142" s="226">
        <f t="shared" si="95"/>
        <v>26.932674854213751</v>
      </c>
      <c r="AD142" s="226">
        <f t="shared" si="95"/>
        <v>27.593366162685406</v>
      </c>
      <c r="AE142" s="226">
        <f t="shared" si="95"/>
        <v>28.254057471157061</v>
      </c>
      <c r="AF142" s="226">
        <f t="shared" si="95"/>
        <v>28.914748779628717</v>
      </c>
      <c r="AG142" s="226">
        <f t="shared" si="95"/>
        <v>29.575440088100372</v>
      </c>
      <c r="AH142" s="226">
        <f t="shared" si="95"/>
        <v>30.236131396572027</v>
      </c>
      <c r="AI142" s="226">
        <f t="shared" si="95"/>
        <v>30.896822705043682</v>
      </c>
      <c r="AJ142" s="226">
        <f t="shared" si="95"/>
        <v>31.557514013515338</v>
      </c>
      <c r="AK142" s="226">
        <f t="shared" si="95"/>
        <v>32.218205321986993</v>
      </c>
      <c r="AL142" s="226">
        <f t="shared" si="95"/>
        <v>32.878896630458662</v>
      </c>
      <c r="AM142" s="226">
        <f t="shared" si="95"/>
        <v>37.697294355774659</v>
      </c>
      <c r="AN142" s="226">
        <f t="shared" si="95"/>
        <v>42.515692081090634</v>
      </c>
      <c r="AO142" s="226">
        <f t="shared" si="95"/>
        <v>42.515692081090634</v>
      </c>
      <c r="AP142" s="226">
        <f t="shared" si="95"/>
        <v>42.515692081090634</v>
      </c>
    </row>
    <row r="143" spans="1:78">
      <c r="A143" s="41"/>
      <c r="B143" s="22" t="str">
        <f t="shared" si="81"/>
        <v>COM_PROJ</v>
      </c>
      <c r="C143" s="23" t="str">
        <f t="shared" si="82"/>
        <v>-</v>
      </c>
      <c r="D143" s="61" t="str">
        <f>ITEMS_TRA!C26</f>
        <v>TFROT</v>
      </c>
      <c r="E143" s="23" t="str">
        <f t="shared" si="83"/>
        <v>-</v>
      </c>
      <c r="F143" s="23" t="str">
        <f t="shared" si="83"/>
        <v>-</v>
      </c>
      <c r="G143" s="23" t="str">
        <f t="shared" si="83"/>
        <v>-</v>
      </c>
      <c r="H143" s="23" t="str">
        <f t="shared" si="83"/>
        <v>-</v>
      </c>
      <c r="I143" s="147">
        <f t="shared" si="84"/>
        <v>0</v>
      </c>
      <c r="J143" s="226">
        <f t="shared" ref="J143:AP143" si="96">INDEX($K122:$AY122,MATCH(J$127,$K$106:$AY$106,0))</f>
        <v>25.099999999999998</v>
      </c>
      <c r="K143" s="226">
        <f t="shared" si="96"/>
        <v>25.50210830470089</v>
      </c>
      <c r="L143" s="226">
        <f t="shared" si="96"/>
        <v>25.904216609401782</v>
      </c>
      <c r="M143" s="226">
        <f t="shared" si="96"/>
        <v>26.306324914102674</v>
      </c>
      <c r="N143" s="226">
        <f t="shared" si="96"/>
        <v>26.525075475116246</v>
      </c>
      <c r="O143" s="226">
        <f t="shared" si="96"/>
        <v>26.743826036129818</v>
      </c>
      <c r="P143" s="226">
        <f t="shared" si="96"/>
        <v>26.307973417190574</v>
      </c>
      <c r="Q143" s="226">
        <f t="shared" si="96"/>
        <v>25.872120798251331</v>
      </c>
      <c r="R143" s="226">
        <f t="shared" si="96"/>
        <v>25.436268179312087</v>
      </c>
      <c r="S143" s="226">
        <f t="shared" si="96"/>
        <v>25.890035847736002</v>
      </c>
      <c r="T143" s="226">
        <f t="shared" si="96"/>
        <v>26.343803516159916</v>
      </c>
      <c r="U143" s="226">
        <f t="shared" si="96"/>
        <v>26.79757118458383</v>
      </c>
      <c r="V143" s="226">
        <f t="shared" si="96"/>
        <v>27.251338853007745</v>
      </c>
      <c r="W143" s="226">
        <f t="shared" si="96"/>
        <v>27.705106521431659</v>
      </c>
      <c r="X143" s="226">
        <f t="shared" si="96"/>
        <v>28.158874189855574</v>
      </c>
      <c r="Y143" s="226">
        <f t="shared" si="96"/>
        <v>28.612641858279488</v>
      </c>
      <c r="Z143" s="226">
        <f t="shared" si="96"/>
        <v>29.066409526703403</v>
      </c>
      <c r="AA143" s="226">
        <f t="shared" si="96"/>
        <v>29.520177195127317</v>
      </c>
      <c r="AB143" s="226">
        <f t="shared" si="96"/>
        <v>29.973944863551218</v>
      </c>
      <c r="AC143" s="226">
        <f t="shared" si="96"/>
        <v>30.727733583671153</v>
      </c>
      <c r="AD143" s="226">
        <f t="shared" si="96"/>
        <v>31.481522303791088</v>
      </c>
      <c r="AE143" s="226">
        <f t="shared" si="96"/>
        <v>32.235311023911024</v>
      </c>
      <c r="AF143" s="226">
        <f t="shared" si="96"/>
        <v>32.989099744030959</v>
      </c>
      <c r="AG143" s="226">
        <f t="shared" si="96"/>
        <v>33.742888464150894</v>
      </c>
      <c r="AH143" s="226">
        <f t="shared" si="96"/>
        <v>34.49667718427083</v>
      </c>
      <c r="AI143" s="226">
        <f t="shared" si="96"/>
        <v>35.250465904390765</v>
      </c>
      <c r="AJ143" s="226">
        <f t="shared" si="96"/>
        <v>36.0042546245107</v>
      </c>
      <c r="AK143" s="226">
        <f t="shared" si="96"/>
        <v>36.758043344630636</v>
      </c>
      <c r="AL143" s="226">
        <f t="shared" si="96"/>
        <v>37.511832064750578</v>
      </c>
      <c r="AM143" s="226">
        <f t="shared" si="96"/>
        <v>43.009185833179259</v>
      </c>
      <c r="AN143" s="226">
        <f t="shared" si="96"/>
        <v>48.506539601607962</v>
      </c>
      <c r="AO143" s="226">
        <f t="shared" si="96"/>
        <v>48.506539601607962</v>
      </c>
      <c r="AP143" s="226">
        <f t="shared" si="96"/>
        <v>48.506539601607962</v>
      </c>
    </row>
    <row r="144" spans="1:78">
      <c r="A144" s="138"/>
      <c r="B144" s="22" t="str">
        <f t="shared" si="81"/>
        <v>COM_PROJ</v>
      </c>
      <c r="C144" s="148" t="str">
        <f t="shared" si="82"/>
        <v>-</v>
      </c>
      <c r="D144" s="61" t="str">
        <f>ITEMS_TRA!C27</f>
        <v>TFREX</v>
      </c>
      <c r="E144" s="148" t="str">
        <f t="shared" si="83"/>
        <v>-</v>
      </c>
      <c r="F144" s="148" t="str">
        <f t="shared" si="83"/>
        <v>-</v>
      </c>
      <c r="G144" s="148" t="str">
        <f t="shared" si="83"/>
        <v>-</v>
      </c>
      <c r="H144" s="148" t="str">
        <f t="shared" si="83"/>
        <v>-</v>
      </c>
      <c r="I144" s="149">
        <f t="shared" si="84"/>
        <v>0</v>
      </c>
      <c r="J144" s="226">
        <f t="shared" ref="J144:AP144" si="97">INDEX($K123:$AY123,MATCH(J$127,$K$106:$AY$106,0))</f>
        <v>82</v>
      </c>
      <c r="K144" s="226">
        <f t="shared" si="97"/>
        <v>82</v>
      </c>
      <c r="L144" s="226">
        <f t="shared" si="97"/>
        <v>82</v>
      </c>
      <c r="M144" s="226">
        <f t="shared" si="97"/>
        <v>82</v>
      </c>
      <c r="N144" s="226">
        <f t="shared" si="97"/>
        <v>82</v>
      </c>
      <c r="O144" s="226">
        <f t="shared" si="97"/>
        <v>82</v>
      </c>
      <c r="P144" s="226">
        <f t="shared" si="97"/>
        <v>79.765410049200213</v>
      </c>
      <c r="Q144" s="226">
        <f t="shared" si="97"/>
        <v>77.530820098400426</v>
      </c>
      <c r="R144" s="226">
        <f t="shared" si="97"/>
        <v>75.296230147600639</v>
      </c>
      <c r="S144" s="226">
        <f t="shared" si="97"/>
        <v>76.570694839865482</v>
      </c>
      <c r="T144" s="226">
        <f t="shared" si="97"/>
        <v>77.845159532130324</v>
      </c>
      <c r="U144" s="226">
        <f t="shared" si="97"/>
        <v>79.119624224395167</v>
      </c>
      <c r="V144" s="226">
        <f t="shared" si="97"/>
        <v>80.39408891666001</v>
      </c>
      <c r="W144" s="226">
        <f t="shared" si="97"/>
        <v>81.668553608924853</v>
      </c>
      <c r="X144" s="226">
        <f t="shared" si="97"/>
        <v>82.943018301189696</v>
      </c>
      <c r="Y144" s="226">
        <f t="shared" si="97"/>
        <v>84.217482993454539</v>
      </c>
      <c r="Z144" s="226">
        <f t="shared" si="97"/>
        <v>85.491947685719381</v>
      </c>
      <c r="AA144" s="226">
        <f t="shared" si="97"/>
        <v>86.766412377984224</v>
      </c>
      <c r="AB144" s="226">
        <f t="shared" si="97"/>
        <v>88.040877070249081</v>
      </c>
      <c r="AC144" s="226">
        <f t="shared" si="97"/>
        <v>89.889451104345511</v>
      </c>
      <c r="AD144" s="226">
        <f t="shared" si="97"/>
        <v>91.738025138441941</v>
      </c>
      <c r="AE144" s="226">
        <f t="shared" si="97"/>
        <v>93.586599172538371</v>
      </c>
      <c r="AF144" s="226">
        <f t="shared" si="97"/>
        <v>95.435173206634801</v>
      </c>
      <c r="AG144" s="226">
        <f t="shared" si="97"/>
        <v>97.28374724073123</v>
      </c>
      <c r="AH144" s="226">
        <f t="shared" si="97"/>
        <v>99.13232127482766</v>
      </c>
      <c r="AI144" s="226">
        <f t="shared" si="97"/>
        <v>100.98089530892409</v>
      </c>
      <c r="AJ144" s="226">
        <f t="shared" si="97"/>
        <v>102.82946934302052</v>
      </c>
      <c r="AK144" s="226">
        <f t="shared" si="97"/>
        <v>104.67804337711695</v>
      </c>
      <c r="AL144" s="226">
        <f t="shared" si="97"/>
        <v>106.52661741121335</v>
      </c>
      <c r="AM144" s="226">
        <f t="shared" si="97"/>
        <v>118.056857121503</v>
      </c>
      <c r="AN144" s="226">
        <f t="shared" si="97"/>
        <v>129.58709683179265</v>
      </c>
      <c r="AO144" s="226">
        <f t="shared" si="97"/>
        <v>129.58709683179265</v>
      </c>
      <c r="AP144" s="226">
        <f t="shared" si="97"/>
        <v>129.58709683179265</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36" t="s">
        <v>16</v>
      </c>
      <c r="B165" s="140" t="s">
        <v>18</v>
      </c>
      <c r="C165" s="140" t="s">
        <v>19</v>
      </c>
      <c r="D165" s="140" t="s">
        <v>20</v>
      </c>
      <c r="E165" s="140" t="s">
        <v>21</v>
      </c>
      <c r="F165" s="140" t="s">
        <v>22</v>
      </c>
      <c r="G165" s="140" t="s">
        <v>23</v>
      </c>
      <c r="H165" s="140"/>
      <c r="I165" s="140" t="s">
        <v>24</v>
      </c>
      <c r="J165" s="141" t="s">
        <v>25</v>
      </c>
      <c r="K165" s="225">
        <v>2012</v>
      </c>
      <c r="L165" s="225">
        <v>2013</v>
      </c>
      <c r="M165" s="225">
        <v>2014</v>
      </c>
      <c r="N165" s="225">
        <v>2015</v>
      </c>
      <c r="O165" s="225">
        <v>2016</v>
      </c>
      <c r="P165" s="225">
        <v>2017</v>
      </c>
      <c r="Q165" s="225">
        <v>2018</v>
      </c>
      <c r="R165" s="225">
        <v>2019</v>
      </c>
      <c r="S165" s="225">
        <v>2020</v>
      </c>
      <c r="T165" s="225">
        <v>2021</v>
      </c>
      <c r="U165" s="225">
        <v>2022</v>
      </c>
      <c r="V165" s="225">
        <v>2023</v>
      </c>
      <c r="W165" s="225">
        <v>2024</v>
      </c>
      <c r="X165" s="225">
        <v>2025</v>
      </c>
      <c r="Y165" s="225">
        <v>2026</v>
      </c>
      <c r="Z165" s="225">
        <v>2027</v>
      </c>
      <c r="AA165" s="225">
        <v>2028</v>
      </c>
      <c r="AB165" s="225">
        <v>2029</v>
      </c>
      <c r="AC165" s="225">
        <v>2030</v>
      </c>
      <c r="AD165" s="225">
        <v>2031</v>
      </c>
      <c r="AE165" s="225">
        <v>2032</v>
      </c>
      <c r="AF165" s="225">
        <v>2033</v>
      </c>
      <c r="AG165" s="225">
        <v>2034</v>
      </c>
      <c r="AH165" s="225">
        <v>2035</v>
      </c>
      <c r="AI165" s="225">
        <v>2036</v>
      </c>
      <c r="AJ165" s="225">
        <v>2037</v>
      </c>
      <c r="AK165" s="225">
        <v>2038</v>
      </c>
      <c r="AL165" s="225">
        <v>2039</v>
      </c>
      <c r="AM165" s="225">
        <v>2040</v>
      </c>
      <c r="AN165" s="225">
        <v>2041</v>
      </c>
      <c r="AO165" s="225">
        <v>2042</v>
      </c>
      <c r="AP165" s="225">
        <v>2043</v>
      </c>
      <c r="AQ165" s="225">
        <v>2044</v>
      </c>
    </row>
    <row r="166" spans="1:78" s="231" customFormat="1">
      <c r="A166" s="136" t="s">
        <v>16</v>
      </c>
      <c r="B166" s="231" t="s">
        <v>393</v>
      </c>
      <c r="C166" s="231">
        <v>1</v>
      </c>
      <c r="D166" s="231">
        <v>2006</v>
      </c>
      <c r="E166" s="231">
        <v>2010</v>
      </c>
      <c r="F166" s="231">
        <v>2020</v>
      </c>
      <c r="G166" s="231">
        <v>2030</v>
      </c>
      <c r="I166" s="231">
        <v>2040</v>
      </c>
      <c r="J166" s="280">
        <v>2050</v>
      </c>
      <c r="K166" s="231">
        <f t="shared" ref="K166:AQ166" si="98">MATCH(J$127,$C$128:$I$128,$C166)</f>
        <v>1</v>
      </c>
      <c r="L166" s="231">
        <f t="shared" si="98"/>
        <v>1</v>
      </c>
      <c r="M166" s="231">
        <f t="shared" si="98"/>
        <v>1</v>
      </c>
      <c r="N166" s="231">
        <f t="shared" si="98"/>
        <v>2</v>
      </c>
      <c r="O166" s="231">
        <f t="shared" si="98"/>
        <v>2</v>
      </c>
      <c r="P166" s="231">
        <f t="shared" si="98"/>
        <v>3</v>
      </c>
      <c r="Q166" s="231">
        <f t="shared" si="98"/>
        <v>3</v>
      </c>
      <c r="R166" s="231">
        <f t="shared" si="98"/>
        <v>3</v>
      </c>
      <c r="S166" s="231">
        <f t="shared" si="98"/>
        <v>4</v>
      </c>
      <c r="T166" s="231">
        <f t="shared" si="98"/>
        <v>4</v>
      </c>
      <c r="U166" s="231">
        <f t="shared" si="98"/>
        <v>4</v>
      </c>
      <c r="V166" s="231">
        <f t="shared" si="98"/>
        <v>4</v>
      </c>
      <c r="W166" s="231">
        <f t="shared" si="98"/>
        <v>4</v>
      </c>
      <c r="X166" s="231">
        <f t="shared" si="98"/>
        <v>4</v>
      </c>
      <c r="Y166" s="231">
        <f t="shared" si="98"/>
        <v>4</v>
      </c>
      <c r="Z166" s="231">
        <f t="shared" si="98"/>
        <v>4</v>
      </c>
      <c r="AA166" s="231">
        <f t="shared" si="98"/>
        <v>4</v>
      </c>
      <c r="AB166" s="231">
        <f t="shared" si="98"/>
        <v>4</v>
      </c>
      <c r="AC166" s="231">
        <f t="shared" si="98"/>
        <v>5</v>
      </c>
      <c r="AD166" s="231">
        <f t="shared" si="98"/>
        <v>5</v>
      </c>
      <c r="AE166" s="231">
        <f t="shared" si="98"/>
        <v>5</v>
      </c>
      <c r="AF166" s="231">
        <f t="shared" si="98"/>
        <v>5</v>
      </c>
      <c r="AG166" s="231">
        <f t="shared" si="98"/>
        <v>5</v>
      </c>
      <c r="AH166" s="231">
        <f t="shared" si="98"/>
        <v>5</v>
      </c>
      <c r="AI166" s="231">
        <f t="shared" si="98"/>
        <v>5</v>
      </c>
      <c r="AJ166" s="231">
        <f t="shared" si="98"/>
        <v>5</v>
      </c>
      <c r="AK166" s="231">
        <f t="shared" si="98"/>
        <v>5</v>
      </c>
      <c r="AL166" s="231">
        <f t="shared" si="98"/>
        <v>5</v>
      </c>
      <c r="AM166" s="231">
        <f t="shared" si="98"/>
        <v>6</v>
      </c>
      <c r="AN166" s="231">
        <f t="shared" si="98"/>
        <v>6</v>
      </c>
      <c r="AO166" s="231">
        <f t="shared" si="98"/>
        <v>7</v>
      </c>
      <c r="AP166" s="231">
        <f t="shared" si="98"/>
        <v>7</v>
      </c>
      <c r="AQ166" s="231">
        <f t="shared" si="98"/>
        <v>7</v>
      </c>
      <c r="AR166" s="225"/>
      <c r="AS166" s="225"/>
      <c r="AT166" s="225"/>
      <c r="AU166" s="225"/>
      <c r="AV166" s="225"/>
      <c r="AW166" s="225"/>
      <c r="AX166" s="225"/>
      <c r="AY166" s="225"/>
      <c r="AZ166" s="225"/>
      <c r="BA166" s="225"/>
      <c r="BB166" s="225"/>
      <c r="BC166" s="225"/>
      <c r="BD166" s="225"/>
      <c r="BE166" s="225"/>
      <c r="BF166" s="225"/>
      <c r="BG166" s="225"/>
      <c r="BH166" s="225"/>
      <c r="BI166" s="225"/>
      <c r="BJ166" s="225"/>
      <c r="BK166" s="225"/>
      <c r="BL166" s="225"/>
      <c r="BM166" s="225"/>
      <c r="BN166" s="225"/>
      <c r="BO166" s="225"/>
      <c r="BP166" s="225"/>
      <c r="BQ166" s="225"/>
      <c r="BR166" s="225"/>
      <c r="BS166" s="225"/>
      <c r="BT166" s="225"/>
      <c r="BU166" s="225"/>
      <c r="BV166" s="225"/>
      <c r="BW166" s="225"/>
      <c r="BX166" s="225"/>
      <c r="BY166" s="225"/>
      <c r="BZ166" s="225"/>
    </row>
    <row r="167" spans="1:78">
      <c r="A167" s="41" t="s">
        <v>16</v>
      </c>
      <c r="B167" s="225" t="s">
        <v>394</v>
      </c>
      <c r="C167" s="225">
        <v>0</v>
      </c>
      <c r="D167" s="225">
        <f>INDEX($D166:$J166,0,COUNT($D166:$J166)-D168)</f>
        <v>2040</v>
      </c>
      <c r="E167" s="225">
        <f>INDEX($D166:$J166,0,COUNT($D166:$J166)-E168)</f>
        <v>0</v>
      </c>
      <c r="F167" s="225">
        <f>INDEX($D166:$J166,0,COUNT($D166:$J166)-F168)</f>
        <v>2030</v>
      </c>
      <c r="G167" s="225">
        <f>INDEX($D166:$J166,0,COUNT($D166:$J166)-G168)</f>
        <v>2020</v>
      </c>
      <c r="I167" s="225">
        <f>INDEX($D166:$J166,0,COUNT($D166:$J166)-I168)</f>
        <v>2010</v>
      </c>
      <c r="J167" s="143">
        <f>INDEX($D166:$J166,0,COUNT($D166:$J166)-J168)</f>
        <v>2006</v>
      </c>
      <c r="K167" s="41">
        <f t="shared" ref="K167:AQ167" si="99">MATCH(J$127,$C$128:$I$128,$C167)</f>
        <v>1</v>
      </c>
      <c r="L167" s="225" t="e">
        <f t="shared" si="99"/>
        <v>#N/A</v>
      </c>
      <c r="M167" s="225" t="e">
        <f t="shared" si="99"/>
        <v>#N/A</v>
      </c>
      <c r="N167" s="225">
        <f t="shared" si="99"/>
        <v>2</v>
      </c>
      <c r="O167" s="225" t="e">
        <f t="shared" si="99"/>
        <v>#N/A</v>
      </c>
      <c r="P167" s="225">
        <f t="shared" si="99"/>
        <v>3</v>
      </c>
      <c r="Q167" s="225" t="e">
        <f t="shared" si="99"/>
        <v>#N/A</v>
      </c>
      <c r="R167" s="225" t="e">
        <f t="shared" si="99"/>
        <v>#N/A</v>
      </c>
      <c r="S167" s="225">
        <f t="shared" si="99"/>
        <v>4</v>
      </c>
      <c r="T167" s="225" t="e">
        <f t="shared" si="99"/>
        <v>#N/A</v>
      </c>
      <c r="U167" s="225" t="e">
        <f t="shared" si="99"/>
        <v>#N/A</v>
      </c>
      <c r="V167" s="225" t="e">
        <f t="shared" si="99"/>
        <v>#N/A</v>
      </c>
      <c r="W167" s="225" t="e">
        <f t="shared" si="99"/>
        <v>#N/A</v>
      </c>
      <c r="X167" s="225" t="e">
        <f t="shared" si="99"/>
        <v>#N/A</v>
      </c>
      <c r="Y167" s="225" t="e">
        <f t="shared" si="99"/>
        <v>#N/A</v>
      </c>
      <c r="Z167" s="225" t="e">
        <f t="shared" si="99"/>
        <v>#N/A</v>
      </c>
      <c r="AA167" s="225" t="e">
        <f t="shared" si="99"/>
        <v>#N/A</v>
      </c>
      <c r="AB167" s="225" t="e">
        <f t="shared" si="99"/>
        <v>#N/A</v>
      </c>
      <c r="AC167" s="225">
        <f t="shared" si="99"/>
        <v>5</v>
      </c>
      <c r="AD167" s="225" t="e">
        <f t="shared" si="99"/>
        <v>#N/A</v>
      </c>
      <c r="AE167" s="225" t="e">
        <f t="shared" si="99"/>
        <v>#N/A</v>
      </c>
      <c r="AF167" s="225" t="e">
        <f t="shared" si="99"/>
        <v>#N/A</v>
      </c>
      <c r="AG167" s="225" t="e">
        <f t="shared" si="99"/>
        <v>#N/A</v>
      </c>
      <c r="AH167" s="225" t="e">
        <f t="shared" si="99"/>
        <v>#N/A</v>
      </c>
      <c r="AI167" s="225" t="e">
        <f t="shared" si="99"/>
        <v>#N/A</v>
      </c>
      <c r="AJ167" s="225" t="e">
        <f t="shared" si="99"/>
        <v>#N/A</v>
      </c>
      <c r="AK167" s="225" t="e">
        <f t="shared" si="99"/>
        <v>#N/A</v>
      </c>
      <c r="AL167" s="225" t="e">
        <f t="shared" si="99"/>
        <v>#N/A</v>
      </c>
      <c r="AM167" s="225">
        <f t="shared" si="99"/>
        <v>6</v>
      </c>
      <c r="AN167" s="225" t="e">
        <f t="shared" si="99"/>
        <v>#N/A</v>
      </c>
      <c r="AO167" s="225">
        <f t="shared" si="99"/>
        <v>7</v>
      </c>
      <c r="AP167" s="225" t="e">
        <f t="shared" si="99"/>
        <v>#N/A</v>
      </c>
      <c r="AQ167" s="225" t="e">
        <f t="shared" si="99"/>
        <v>#N/A</v>
      </c>
    </row>
    <row r="168" spans="1:78">
      <c r="A168" s="41" t="s">
        <v>16</v>
      </c>
      <c r="B168" s="225" t="s">
        <v>392</v>
      </c>
      <c r="C168" s="225">
        <v>-1</v>
      </c>
      <c r="D168" s="225">
        <v>0</v>
      </c>
      <c r="E168" s="225">
        <v>1</v>
      </c>
      <c r="F168" s="225">
        <v>2</v>
      </c>
      <c r="G168" s="225">
        <v>3</v>
      </c>
      <c r="I168" s="225">
        <v>4</v>
      </c>
      <c r="J168" s="225">
        <v>5</v>
      </c>
      <c r="K168" s="41">
        <f t="shared" ref="K168:AQ168" si="100">MATCH(J$127,$C$129:$I$129,$C168)</f>
        <v>7</v>
      </c>
      <c r="L168" s="225">
        <f t="shared" si="100"/>
        <v>6</v>
      </c>
      <c r="M168" s="225">
        <f t="shared" si="100"/>
        <v>6</v>
      </c>
      <c r="N168" s="225">
        <f t="shared" si="100"/>
        <v>6</v>
      </c>
      <c r="O168" s="225">
        <f t="shared" si="100"/>
        <v>5</v>
      </c>
      <c r="P168" s="225">
        <f t="shared" si="100"/>
        <v>5</v>
      </c>
      <c r="Q168" s="225">
        <f t="shared" si="100"/>
        <v>4</v>
      </c>
      <c r="R168" s="225">
        <f t="shared" si="100"/>
        <v>4</v>
      </c>
      <c r="S168" s="225">
        <f t="shared" si="100"/>
        <v>4</v>
      </c>
      <c r="T168" s="225">
        <f t="shared" si="100"/>
        <v>3</v>
      </c>
      <c r="U168" s="225">
        <f t="shared" si="100"/>
        <v>3</v>
      </c>
      <c r="V168" s="225">
        <f t="shared" si="100"/>
        <v>3</v>
      </c>
      <c r="W168" s="225">
        <f t="shared" si="100"/>
        <v>3</v>
      </c>
      <c r="X168" s="225">
        <f t="shared" si="100"/>
        <v>3</v>
      </c>
      <c r="Y168" s="225">
        <f t="shared" si="100"/>
        <v>3</v>
      </c>
      <c r="Z168" s="225">
        <f t="shared" si="100"/>
        <v>3</v>
      </c>
      <c r="AA168" s="225">
        <f t="shared" si="100"/>
        <v>3</v>
      </c>
      <c r="AB168" s="225">
        <f t="shared" si="100"/>
        <v>3</v>
      </c>
      <c r="AC168" s="225">
        <f t="shared" si="100"/>
        <v>3</v>
      </c>
      <c r="AD168" s="225">
        <f t="shared" si="100"/>
        <v>2</v>
      </c>
      <c r="AE168" s="225">
        <f t="shared" si="100"/>
        <v>2</v>
      </c>
      <c r="AF168" s="225">
        <f t="shared" si="100"/>
        <v>2</v>
      </c>
      <c r="AG168" s="225">
        <f t="shared" si="100"/>
        <v>2</v>
      </c>
      <c r="AH168" s="225">
        <f t="shared" si="100"/>
        <v>2</v>
      </c>
      <c r="AI168" s="225">
        <f t="shared" si="100"/>
        <v>2</v>
      </c>
      <c r="AJ168" s="225">
        <f t="shared" si="100"/>
        <v>2</v>
      </c>
      <c r="AK168" s="225">
        <f t="shared" si="100"/>
        <v>2</v>
      </c>
      <c r="AL168" s="225">
        <f t="shared" si="100"/>
        <v>2</v>
      </c>
      <c r="AM168" s="225">
        <f t="shared" si="100"/>
        <v>2</v>
      </c>
      <c r="AN168" s="225">
        <f t="shared" si="100"/>
        <v>1</v>
      </c>
      <c r="AO168" s="225">
        <f t="shared" si="100"/>
        <v>1</v>
      </c>
      <c r="AP168" s="225" t="e">
        <f t="shared" si="100"/>
        <v>#N/A</v>
      </c>
      <c r="AQ168" s="225" t="e">
        <f t="shared" si="100"/>
        <v>#N/A</v>
      </c>
    </row>
    <row r="169" spans="1:78" s="139" customFormat="1">
      <c r="A169" s="41" t="s">
        <v>16</v>
      </c>
      <c r="B169" s="225" t="s">
        <v>395</v>
      </c>
      <c r="C169" s="225"/>
      <c r="D169" s="225"/>
      <c r="E169" s="225"/>
      <c r="F169" s="225"/>
      <c r="G169" s="225"/>
      <c r="H169" s="225"/>
      <c r="I169" s="225"/>
      <c r="J169" s="144"/>
      <c r="K169" s="229">
        <f>IF(ISNA(K166),-1,IF(ISNA(K168),99,IF(ISNA(K167),K166,0)))</f>
        <v>0</v>
      </c>
      <c r="L169" s="229">
        <f t="shared" ref="L169:AQ169" si="101">IF(ISNA(L166),-1,IF(ISNA(L168),99,IF(ISNA(L167),L166,0)))</f>
        <v>1</v>
      </c>
      <c r="M169" s="229">
        <f t="shared" si="101"/>
        <v>1</v>
      </c>
      <c r="N169" s="229">
        <f t="shared" si="101"/>
        <v>0</v>
      </c>
      <c r="O169" s="229">
        <f t="shared" si="101"/>
        <v>2</v>
      </c>
      <c r="P169" s="229">
        <f t="shared" si="101"/>
        <v>0</v>
      </c>
      <c r="Q169" s="229">
        <f t="shared" si="101"/>
        <v>3</v>
      </c>
      <c r="R169" s="229">
        <f t="shared" si="101"/>
        <v>3</v>
      </c>
      <c r="S169" s="229">
        <f t="shared" si="101"/>
        <v>0</v>
      </c>
      <c r="T169" s="229">
        <f t="shared" si="101"/>
        <v>4</v>
      </c>
      <c r="U169" s="229">
        <f t="shared" si="101"/>
        <v>4</v>
      </c>
      <c r="V169" s="229">
        <f t="shared" si="101"/>
        <v>4</v>
      </c>
      <c r="W169" s="229">
        <f t="shared" si="101"/>
        <v>4</v>
      </c>
      <c r="X169" s="229">
        <f t="shared" si="101"/>
        <v>4</v>
      </c>
      <c r="Y169" s="229">
        <f t="shared" si="101"/>
        <v>4</v>
      </c>
      <c r="Z169" s="229">
        <f t="shared" si="101"/>
        <v>4</v>
      </c>
      <c r="AA169" s="229">
        <f t="shared" si="101"/>
        <v>4</v>
      </c>
      <c r="AB169" s="229">
        <f t="shared" si="101"/>
        <v>4</v>
      </c>
      <c r="AC169" s="229">
        <f t="shared" si="101"/>
        <v>0</v>
      </c>
      <c r="AD169" s="229">
        <f t="shared" si="101"/>
        <v>5</v>
      </c>
      <c r="AE169" s="229">
        <f t="shared" si="101"/>
        <v>5</v>
      </c>
      <c r="AF169" s="229">
        <f t="shared" si="101"/>
        <v>5</v>
      </c>
      <c r="AG169" s="229">
        <f t="shared" si="101"/>
        <v>5</v>
      </c>
      <c r="AH169" s="229">
        <f t="shared" si="101"/>
        <v>5</v>
      </c>
      <c r="AI169" s="229">
        <f t="shared" si="101"/>
        <v>5</v>
      </c>
      <c r="AJ169" s="229">
        <f t="shared" si="101"/>
        <v>5</v>
      </c>
      <c r="AK169" s="229">
        <f t="shared" si="101"/>
        <v>5</v>
      </c>
      <c r="AL169" s="229">
        <f t="shared" si="101"/>
        <v>5</v>
      </c>
      <c r="AM169" s="229">
        <f t="shared" si="101"/>
        <v>0</v>
      </c>
      <c r="AN169" s="229">
        <f t="shared" si="101"/>
        <v>6</v>
      </c>
      <c r="AO169" s="229">
        <f t="shared" si="101"/>
        <v>0</v>
      </c>
      <c r="AP169" s="229">
        <f t="shared" si="101"/>
        <v>99</v>
      </c>
      <c r="AQ169" s="229">
        <f t="shared" si="101"/>
        <v>99</v>
      </c>
      <c r="AR169" s="225"/>
      <c r="AS169" s="225"/>
      <c r="AT169" s="225"/>
      <c r="AU169" s="225"/>
      <c r="AV169" s="225"/>
      <c r="AW169" s="225"/>
      <c r="AX169" s="225"/>
      <c r="AY169" s="225"/>
      <c r="AZ169" s="225"/>
      <c r="BA169" s="225"/>
      <c r="BB169" s="225"/>
      <c r="BC169" s="225"/>
      <c r="BD169" s="225"/>
      <c r="BE169" s="225"/>
      <c r="BF169" s="225"/>
      <c r="BG169" s="225"/>
      <c r="BH169" s="225"/>
      <c r="BI169" s="225"/>
      <c r="BJ169" s="225"/>
      <c r="BK169" s="225"/>
      <c r="BL169" s="225"/>
      <c r="BM169" s="225"/>
      <c r="BN169" s="225"/>
      <c r="BO169" s="225"/>
      <c r="BP169" s="225"/>
      <c r="BQ169" s="225"/>
      <c r="BR169" s="225"/>
      <c r="BS169" s="225"/>
      <c r="BT169" s="225"/>
      <c r="BU169" s="225"/>
      <c r="BV169" s="225"/>
      <c r="BW169" s="225"/>
      <c r="BX169" s="225"/>
      <c r="BY169" s="225"/>
      <c r="BZ169" s="225"/>
    </row>
    <row r="170" spans="1:78">
      <c r="A170" s="225" t="s">
        <v>16</v>
      </c>
      <c r="B170" s="22" t="str">
        <f t="shared" ref="B170:B179" si="102">IF(A170="*","","COM_PROJ")</f>
        <v/>
      </c>
      <c r="C170" s="23" t="str">
        <f t="shared" ref="C170:C179" si="103">IF($A170="*","","-")</f>
        <v/>
      </c>
      <c r="D170" s="61"/>
      <c r="E170" s="23" t="str">
        <f t="shared" ref="E170:I179" si="104">IF($A170="*","","-")</f>
        <v/>
      </c>
      <c r="F170" s="23" t="str">
        <f t="shared" si="104"/>
        <v/>
      </c>
      <c r="G170" s="23" t="str">
        <f t="shared" si="104"/>
        <v/>
      </c>
      <c r="H170" s="23"/>
      <c r="I170" s="23" t="str">
        <f t="shared" si="104"/>
        <v/>
      </c>
      <c r="K170" s="23">
        <f>K165</f>
        <v>2012</v>
      </c>
      <c r="L170" s="23">
        <f t="shared" ref="L170:AQ170" si="105">L165</f>
        <v>2013</v>
      </c>
      <c r="M170" s="23">
        <f t="shared" si="105"/>
        <v>2014</v>
      </c>
      <c r="N170" s="23">
        <f t="shared" si="105"/>
        <v>2015</v>
      </c>
      <c r="O170" s="23">
        <f t="shared" si="105"/>
        <v>2016</v>
      </c>
      <c r="P170" s="23">
        <f t="shared" si="105"/>
        <v>2017</v>
      </c>
      <c r="Q170" s="23">
        <f t="shared" si="105"/>
        <v>2018</v>
      </c>
      <c r="R170" s="23">
        <f t="shared" si="105"/>
        <v>2019</v>
      </c>
      <c r="S170" s="23">
        <f t="shared" si="105"/>
        <v>2020</v>
      </c>
      <c r="T170" s="23">
        <f t="shared" si="105"/>
        <v>2021</v>
      </c>
      <c r="U170" s="23">
        <f t="shared" si="105"/>
        <v>2022</v>
      </c>
      <c r="V170" s="23">
        <f t="shared" si="105"/>
        <v>2023</v>
      </c>
      <c r="W170" s="23">
        <f t="shared" si="105"/>
        <v>2024</v>
      </c>
      <c r="X170" s="23">
        <f t="shared" si="105"/>
        <v>2025</v>
      </c>
      <c r="Y170" s="23">
        <f t="shared" si="105"/>
        <v>2026</v>
      </c>
      <c r="Z170" s="23">
        <f t="shared" si="105"/>
        <v>2027</v>
      </c>
      <c r="AA170" s="23">
        <f t="shared" si="105"/>
        <v>2028</v>
      </c>
      <c r="AB170" s="23">
        <f t="shared" si="105"/>
        <v>2029</v>
      </c>
      <c r="AC170" s="23">
        <f t="shared" si="105"/>
        <v>2030</v>
      </c>
      <c r="AD170" s="23">
        <f t="shared" si="105"/>
        <v>2031</v>
      </c>
      <c r="AE170" s="23">
        <f t="shared" si="105"/>
        <v>2032</v>
      </c>
      <c r="AF170" s="23">
        <f t="shared" si="105"/>
        <v>2033</v>
      </c>
      <c r="AG170" s="23">
        <f t="shared" si="105"/>
        <v>2034</v>
      </c>
      <c r="AH170" s="23">
        <f t="shared" si="105"/>
        <v>2035</v>
      </c>
      <c r="AI170" s="23">
        <f t="shared" si="105"/>
        <v>2036</v>
      </c>
      <c r="AJ170" s="23">
        <f t="shared" si="105"/>
        <v>2037</v>
      </c>
      <c r="AK170" s="23">
        <f t="shared" si="105"/>
        <v>2038</v>
      </c>
      <c r="AL170" s="23">
        <f t="shared" si="105"/>
        <v>2039</v>
      </c>
      <c r="AM170" s="23">
        <f t="shared" si="105"/>
        <v>2040</v>
      </c>
      <c r="AN170" s="23">
        <f t="shared" si="105"/>
        <v>2041</v>
      </c>
      <c r="AO170" s="23">
        <f t="shared" si="105"/>
        <v>2042</v>
      </c>
      <c r="AP170" s="23">
        <f t="shared" si="105"/>
        <v>2043</v>
      </c>
      <c r="AQ170" s="23">
        <f t="shared" si="105"/>
        <v>2044</v>
      </c>
    </row>
    <row r="171" spans="1:78">
      <c r="A171" s="225" t="s">
        <v>16</v>
      </c>
      <c r="B171" s="22" t="str">
        <f t="shared" si="102"/>
        <v/>
      </c>
      <c r="C171" s="23" t="str">
        <f t="shared" si="103"/>
        <v/>
      </c>
      <c r="D171" s="61"/>
      <c r="E171" s="23" t="str">
        <f t="shared" si="104"/>
        <v/>
      </c>
      <c r="F171" s="23" t="str">
        <f t="shared" si="104"/>
        <v/>
      </c>
      <c r="G171" s="23" t="str">
        <f t="shared" si="104"/>
        <v/>
      </c>
      <c r="H171" s="23"/>
      <c r="I171" s="23" t="str">
        <f t="shared" si="104"/>
        <v/>
      </c>
      <c r="J171" s="157" t="str">
        <f t="shared" ref="J171:J183" si="106">B76</f>
        <v>TFLCV</v>
      </c>
      <c r="K171" s="226">
        <f>F43</f>
        <v>17.152485013399282</v>
      </c>
      <c r="L171" s="226">
        <f t="shared" ref="L171:AQ171" si="107">IF(L$169=-1,M171,IF(L$169=99,K171,IF(L$169=0,INDEX($F43:$L43,0,L$167),(INDEX($F43:$L43,0,L$169+1)-INDEX($F43:$L43,0,L$169))/(INDEX($F$4:$L$4,0,L$169+1)-INDEX($F$4:$L$4,0,L$169))+K171)))</f>
        <v>17.427272131731769</v>
      </c>
      <c r="M171" s="226">
        <f t="shared" si="107"/>
        <v>17.702059250064256</v>
      </c>
      <c r="N171" s="226">
        <f t="shared" si="107"/>
        <v>17.976846368396746</v>
      </c>
      <c r="O171" s="226">
        <f t="shared" si="107"/>
        <v>18.126333050446863</v>
      </c>
      <c r="P171" s="226">
        <f t="shared" si="107"/>
        <v>18.275819732496981</v>
      </c>
      <c r="Q171" s="226">
        <f t="shared" si="107"/>
        <v>17.977972899253707</v>
      </c>
      <c r="R171" s="226">
        <f t="shared" si="107"/>
        <v>17.680126066010434</v>
      </c>
      <c r="S171" s="226">
        <f t="shared" si="107"/>
        <v>17.382279232767157</v>
      </c>
      <c r="T171" s="226">
        <f t="shared" si="107"/>
        <v>17.692368600584143</v>
      </c>
      <c r="U171" s="226">
        <f t="shared" si="107"/>
        <v>18.002457968401128</v>
      </c>
      <c r="V171" s="226">
        <f t="shared" si="107"/>
        <v>18.312547336218113</v>
      </c>
      <c r="W171" s="226">
        <f t="shared" si="107"/>
        <v>18.622636704035099</v>
      </c>
      <c r="X171" s="226">
        <f t="shared" si="107"/>
        <v>18.932726071852084</v>
      </c>
      <c r="Y171" s="226">
        <f t="shared" si="107"/>
        <v>19.242815439669069</v>
      </c>
      <c r="Z171" s="226">
        <f t="shared" si="107"/>
        <v>19.552904807486055</v>
      </c>
      <c r="AA171" s="226">
        <f t="shared" si="107"/>
        <v>19.86299417530304</v>
      </c>
      <c r="AB171" s="226">
        <f t="shared" si="107"/>
        <v>20.173083543120025</v>
      </c>
      <c r="AC171" s="226">
        <f t="shared" si="107"/>
        <v>20.483172910937</v>
      </c>
      <c r="AD171" s="226">
        <f t="shared" si="107"/>
        <v>20.998286445802602</v>
      </c>
      <c r="AE171" s="226">
        <f t="shared" si="107"/>
        <v>21.513399980668204</v>
      </c>
      <c r="AF171" s="226">
        <f t="shared" si="107"/>
        <v>22.028513515533806</v>
      </c>
      <c r="AG171" s="226">
        <f t="shared" si="107"/>
        <v>22.543627050399408</v>
      </c>
      <c r="AH171" s="226">
        <f t="shared" si="107"/>
        <v>23.05874058526501</v>
      </c>
      <c r="AI171" s="226">
        <f t="shared" si="107"/>
        <v>23.573854120130612</v>
      </c>
      <c r="AJ171" s="226">
        <f t="shared" si="107"/>
        <v>24.088967654996214</v>
      </c>
      <c r="AK171" s="226">
        <f t="shared" si="107"/>
        <v>24.604081189861816</v>
      </c>
      <c r="AL171" s="226">
        <f t="shared" si="107"/>
        <v>25.119194724727418</v>
      </c>
      <c r="AM171" s="226">
        <f t="shared" si="107"/>
        <v>25.634308259593027</v>
      </c>
      <c r="AN171" s="226">
        <f t="shared" si="107"/>
        <v>26.385649121157385</v>
      </c>
      <c r="AO171" s="226">
        <f t="shared" si="107"/>
        <v>33.147716875236625</v>
      </c>
      <c r="AP171" s="226">
        <f t="shared" si="107"/>
        <v>33.147716875236625</v>
      </c>
      <c r="AQ171" s="226">
        <f t="shared" si="107"/>
        <v>33.147716875236625</v>
      </c>
    </row>
    <row r="172" spans="1:78">
      <c r="A172" s="225" t="s">
        <v>16</v>
      </c>
      <c r="B172" s="22" t="str">
        <f t="shared" si="102"/>
        <v/>
      </c>
      <c r="C172" s="23" t="str">
        <f t="shared" si="103"/>
        <v/>
      </c>
      <c r="D172" s="61"/>
      <c r="E172" s="23" t="str">
        <f t="shared" si="104"/>
        <v/>
      </c>
      <c r="F172" s="23" t="str">
        <f t="shared" si="104"/>
        <v/>
      </c>
      <c r="G172" s="23" t="str">
        <f t="shared" si="104"/>
        <v/>
      </c>
      <c r="H172" s="23"/>
      <c r="I172" s="23" t="str">
        <f t="shared" si="104"/>
        <v/>
      </c>
      <c r="J172" s="157" t="str">
        <f t="shared" si="106"/>
        <v>TFHCV1</v>
      </c>
      <c r="K172" s="226">
        <f>F46</f>
        <v>4.9126336080498234</v>
      </c>
      <c r="L172" s="226">
        <f t="shared" ref="L172:AQ172" si="108">IF(L$169=-1,M172,IF(L$169=99,K172,IF(L$169=0,INDEX($F46:$L46,0,L$167),(INDEX($F46:$L46,0,L$169+1)-INDEX($F46:$L46,0,L$169))/(INDEX($F$4:$L$4,0,L$169+1)-INDEX($F$4:$L$4,0,L$169))+K172)))</f>
        <v>4.9913352324223146</v>
      </c>
      <c r="M172" s="226">
        <f t="shared" si="108"/>
        <v>5.0700368567948058</v>
      </c>
      <c r="N172" s="226">
        <f t="shared" si="108"/>
        <v>5.1487384811672978</v>
      </c>
      <c r="O172" s="226">
        <f t="shared" si="108"/>
        <v>5.1915528778929954</v>
      </c>
      <c r="P172" s="226">
        <f t="shared" si="108"/>
        <v>5.2343672746186938</v>
      </c>
      <c r="Q172" s="226">
        <f t="shared" si="108"/>
        <v>5.1490611302379188</v>
      </c>
      <c r="R172" s="226">
        <f t="shared" si="108"/>
        <v>5.0637549858571438</v>
      </c>
      <c r="S172" s="226">
        <f t="shared" si="108"/>
        <v>4.9784488414763688</v>
      </c>
      <c r="T172" s="226">
        <f t="shared" si="108"/>
        <v>5.0672613633148433</v>
      </c>
      <c r="U172" s="226">
        <f t="shared" si="108"/>
        <v>5.1560738851533188</v>
      </c>
      <c r="V172" s="226">
        <f t="shared" si="108"/>
        <v>5.2448864069917942</v>
      </c>
      <c r="W172" s="226">
        <f t="shared" si="108"/>
        <v>5.3336989288302696</v>
      </c>
      <c r="X172" s="226">
        <f t="shared" si="108"/>
        <v>5.4225114506687451</v>
      </c>
      <c r="Y172" s="226">
        <f t="shared" si="108"/>
        <v>5.5113239725072205</v>
      </c>
      <c r="Z172" s="226">
        <f t="shared" si="108"/>
        <v>5.6001364943456959</v>
      </c>
      <c r="AA172" s="226">
        <f t="shared" si="108"/>
        <v>5.6889490161841714</v>
      </c>
      <c r="AB172" s="226">
        <f t="shared" si="108"/>
        <v>5.7777615380226468</v>
      </c>
      <c r="AC172" s="226">
        <f t="shared" si="108"/>
        <v>5.8665740598611187</v>
      </c>
      <c r="AD172" s="226">
        <f t="shared" si="108"/>
        <v>6.0141074383404041</v>
      </c>
      <c r="AE172" s="226">
        <f t="shared" si="108"/>
        <v>6.1616408168196894</v>
      </c>
      <c r="AF172" s="226">
        <f t="shared" si="108"/>
        <v>6.3091741952989748</v>
      </c>
      <c r="AG172" s="226">
        <f t="shared" si="108"/>
        <v>6.4567075737782602</v>
      </c>
      <c r="AH172" s="226">
        <f t="shared" si="108"/>
        <v>6.6042409522575456</v>
      </c>
      <c r="AI172" s="226">
        <f t="shared" si="108"/>
        <v>6.751774330736831</v>
      </c>
      <c r="AJ172" s="226">
        <f t="shared" si="108"/>
        <v>6.8993077092161164</v>
      </c>
      <c r="AK172" s="226">
        <f t="shared" si="108"/>
        <v>7.0468410876954017</v>
      </c>
      <c r="AL172" s="226">
        <f t="shared" si="108"/>
        <v>7.1943744661746871</v>
      </c>
      <c r="AM172" s="226">
        <f t="shared" si="108"/>
        <v>7.3419078446539707</v>
      </c>
      <c r="AN172" s="226">
        <f t="shared" si="108"/>
        <v>7.5570989592206805</v>
      </c>
      <c r="AO172" s="226">
        <f t="shared" si="108"/>
        <v>9.4938189903210723</v>
      </c>
      <c r="AP172" s="226">
        <f t="shared" si="108"/>
        <v>9.4938189903210723</v>
      </c>
      <c r="AQ172" s="226">
        <f t="shared" si="108"/>
        <v>9.4938189903210723</v>
      </c>
      <c r="AZ172" s="226"/>
      <c r="BA172" s="226"/>
      <c r="BB172" s="226"/>
      <c r="BC172" s="226"/>
      <c r="BD172" s="226"/>
      <c r="BE172" s="226"/>
    </row>
    <row r="173" spans="1:78">
      <c r="A173" s="225" t="s">
        <v>16</v>
      </c>
      <c r="B173" s="22" t="str">
        <f t="shared" si="102"/>
        <v/>
      </c>
      <c r="C173" s="23" t="str">
        <f t="shared" si="103"/>
        <v/>
      </c>
      <c r="D173" s="61"/>
      <c r="E173" s="23" t="str">
        <f t="shared" si="104"/>
        <v/>
      </c>
      <c r="F173" s="23" t="str">
        <f t="shared" si="104"/>
        <v/>
      </c>
      <c r="G173" s="23" t="str">
        <f t="shared" si="104"/>
        <v/>
      </c>
      <c r="H173" s="23"/>
      <c r="I173" s="23" t="str">
        <f t="shared" si="104"/>
        <v/>
      </c>
      <c r="J173" s="157" t="str">
        <f t="shared" si="106"/>
        <v>TFHCV2</v>
      </c>
      <c r="K173" s="226">
        <f t="shared" ref="K173:K180" si="109">F51</f>
        <v>1.637618085804339</v>
      </c>
      <c r="L173" s="226">
        <f t="shared" ref="L173:AQ180" si="110">IF(L$169=-1,M173,IF(L$169=99,K173,IF(L$169=0,INDEX($F51:$L51,0,L$167),(INDEX($F51:$L51,0,L$169+1)-INDEX($F51:$L51,0,L$169))/(INDEX($F$4:$L$4,0,L$169+1)-INDEX($F$4:$L$4,0,L$169))+K173)))</f>
        <v>1.6638531388812434</v>
      </c>
      <c r="M173" s="226">
        <f t="shared" si="110"/>
        <v>1.6900881919581479</v>
      </c>
      <c r="N173" s="226">
        <f t="shared" si="110"/>
        <v>1.7163232450350523</v>
      </c>
      <c r="O173" s="226">
        <f t="shared" si="110"/>
        <v>1.730595351608585</v>
      </c>
      <c r="P173" s="226">
        <f t="shared" si="110"/>
        <v>1.7448674581821175</v>
      </c>
      <c r="Q173" s="226">
        <f t="shared" si="110"/>
        <v>1.7164307995558192</v>
      </c>
      <c r="R173" s="226">
        <f t="shared" si="110"/>
        <v>1.6879941409295209</v>
      </c>
      <c r="S173" s="226">
        <f t="shared" si="110"/>
        <v>1.6595574823032224</v>
      </c>
      <c r="T173" s="226">
        <f t="shared" si="110"/>
        <v>1.6891629859113606</v>
      </c>
      <c r="U173" s="226">
        <f t="shared" si="110"/>
        <v>1.7187684895194986</v>
      </c>
      <c r="V173" s="226">
        <f t="shared" si="110"/>
        <v>1.7483739931276365</v>
      </c>
      <c r="W173" s="226">
        <f t="shared" si="110"/>
        <v>1.7779794967357745</v>
      </c>
      <c r="X173" s="226">
        <f t="shared" si="110"/>
        <v>1.8075850003439125</v>
      </c>
      <c r="Y173" s="226">
        <f t="shared" si="110"/>
        <v>1.8371905039520504</v>
      </c>
      <c r="Z173" s="226">
        <f t="shared" si="110"/>
        <v>1.8667960075601884</v>
      </c>
      <c r="AA173" s="226">
        <f t="shared" si="110"/>
        <v>1.8964015111683263</v>
      </c>
      <c r="AB173" s="226">
        <f t="shared" si="110"/>
        <v>1.9260070147764643</v>
      </c>
      <c r="AC173" s="226">
        <f t="shared" si="110"/>
        <v>1.9556125183846031</v>
      </c>
      <c r="AD173" s="226">
        <f t="shared" si="110"/>
        <v>2.004792520015827</v>
      </c>
      <c r="AE173" s="226">
        <f t="shared" si="110"/>
        <v>2.0539725216470508</v>
      </c>
      <c r="AF173" s="226">
        <f t="shared" si="110"/>
        <v>2.1031525232782746</v>
      </c>
      <c r="AG173" s="226">
        <f t="shared" si="110"/>
        <v>2.1523325249094984</v>
      </c>
      <c r="AH173" s="226">
        <f t="shared" si="110"/>
        <v>2.2015125265407223</v>
      </c>
      <c r="AI173" s="226">
        <f t="shared" si="110"/>
        <v>2.2506925281719461</v>
      </c>
      <c r="AJ173" s="226">
        <f t="shared" si="110"/>
        <v>2.2998725298031699</v>
      </c>
      <c r="AK173" s="226">
        <f t="shared" si="110"/>
        <v>2.3490525314343937</v>
      </c>
      <c r="AL173" s="226">
        <f t="shared" si="110"/>
        <v>2.3982325330656176</v>
      </c>
      <c r="AM173" s="226">
        <f t="shared" si="110"/>
        <v>2.4474125346968392</v>
      </c>
      <c r="AN173" s="226">
        <f t="shared" si="110"/>
        <v>2.5191461279657115</v>
      </c>
      <c r="AO173" s="226">
        <f t="shared" si="110"/>
        <v>3.1647484673855613</v>
      </c>
      <c r="AP173" s="226">
        <f t="shared" si="110"/>
        <v>3.1647484673855613</v>
      </c>
      <c r="AQ173" s="226">
        <f t="shared" si="110"/>
        <v>3.1647484673855613</v>
      </c>
      <c r="AZ173" s="226"/>
      <c r="BA173" s="226"/>
      <c r="BB173" s="226"/>
      <c r="BC173" s="226"/>
      <c r="BD173" s="226"/>
      <c r="BE173" s="226"/>
    </row>
    <row r="174" spans="1:78">
      <c r="A174" s="225" t="s">
        <v>16</v>
      </c>
      <c r="B174" s="22" t="str">
        <f t="shared" si="102"/>
        <v/>
      </c>
      <c r="C174" s="23" t="str">
        <f t="shared" si="103"/>
        <v/>
      </c>
      <c r="D174" s="61"/>
      <c r="E174" s="23" t="str">
        <f t="shared" si="104"/>
        <v/>
      </c>
      <c r="F174" s="23" t="str">
        <f t="shared" si="104"/>
        <v/>
      </c>
      <c r="G174" s="23" t="str">
        <f t="shared" si="104"/>
        <v/>
      </c>
      <c r="H174" s="23"/>
      <c r="I174" s="23" t="str">
        <f t="shared" si="104"/>
        <v/>
      </c>
      <c r="J174" s="157" t="str">
        <f t="shared" si="106"/>
        <v>TFHCV3</v>
      </c>
      <c r="K174" s="226">
        <f t="shared" si="109"/>
        <v>10.467275163694032</v>
      </c>
      <c r="L174" s="226">
        <f t="shared" si="110"/>
        <v>10.634963541021154</v>
      </c>
      <c r="M174" s="226">
        <f t="shared" si="110"/>
        <v>10.802651918348277</v>
      </c>
      <c r="N174" s="226">
        <f t="shared" si="110"/>
        <v>10.970340295675397</v>
      </c>
      <c r="O174" s="226">
        <f t="shared" si="110"/>
        <v>11.061564292262707</v>
      </c>
      <c r="P174" s="226">
        <f t="shared" si="110"/>
        <v>11.152788288850017</v>
      </c>
      <c r="Q174" s="226">
        <f t="shared" si="110"/>
        <v>10.971027759238314</v>
      </c>
      <c r="R174" s="226">
        <f t="shared" si="110"/>
        <v>10.789267229626612</v>
      </c>
      <c r="S174" s="226">
        <f t="shared" si="110"/>
        <v>10.607506700014909</v>
      </c>
      <c r="T174" s="226">
        <f t="shared" si="110"/>
        <v>10.796738215783076</v>
      </c>
      <c r="U174" s="226">
        <f t="shared" si="110"/>
        <v>10.985969731551243</v>
      </c>
      <c r="V174" s="226">
        <f t="shared" si="110"/>
        <v>11.175201247319411</v>
      </c>
      <c r="W174" s="226">
        <f t="shared" si="110"/>
        <v>11.364432763087578</v>
      </c>
      <c r="X174" s="226">
        <f t="shared" si="110"/>
        <v>11.553664278855745</v>
      </c>
      <c r="Y174" s="226">
        <f t="shared" si="110"/>
        <v>11.742895794623912</v>
      </c>
      <c r="Z174" s="226">
        <f t="shared" si="110"/>
        <v>11.93212731039208</v>
      </c>
      <c r="AA174" s="226">
        <f t="shared" si="110"/>
        <v>12.121358826160247</v>
      </c>
      <c r="AB174" s="226">
        <f t="shared" si="110"/>
        <v>12.310590341928414</v>
      </c>
      <c r="AC174" s="226">
        <f t="shared" si="110"/>
        <v>12.499821857696572</v>
      </c>
      <c r="AD174" s="226">
        <f t="shared" si="110"/>
        <v>12.814169026970839</v>
      </c>
      <c r="AE174" s="226">
        <f t="shared" si="110"/>
        <v>13.128516196245107</v>
      </c>
      <c r="AF174" s="226">
        <f t="shared" si="110"/>
        <v>13.442863365519374</v>
      </c>
      <c r="AG174" s="226">
        <f t="shared" si="110"/>
        <v>13.757210534793641</v>
      </c>
      <c r="AH174" s="226">
        <f t="shared" si="110"/>
        <v>14.071557704067908</v>
      </c>
      <c r="AI174" s="226">
        <f t="shared" si="110"/>
        <v>14.385904873342175</v>
      </c>
      <c r="AJ174" s="226">
        <f t="shared" si="110"/>
        <v>14.700252042616443</v>
      </c>
      <c r="AK174" s="226">
        <f t="shared" si="110"/>
        <v>15.01459921189071</v>
      </c>
      <c r="AL174" s="226">
        <f t="shared" si="110"/>
        <v>15.328946381164977</v>
      </c>
      <c r="AM174" s="226">
        <f t="shared" si="110"/>
        <v>15.643293550439248</v>
      </c>
      <c r="AN174" s="226">
        <f t="shared" si="110"/>
        <v>16.10179804897561</v>
      </c>
      <c r="AO174" s="226">
        <f t="shared" si="110"/>
        <v>20.22833853580287</v>
      </c>
      <c r="AP174" s="226">
        <f t="shared" si="110"/>
        <v>20.22833853580287</v>
      </c>
      <c r="AQ174" s="226">
        <f t="shared" si="110"/>
        <v>20.22833853580287</v>
      </c>
      <c r="AZ174" s="226"/>
      <c r="BA174" s="226"/>
      <c r="BB174" s="226"/>
      <c r="BC174" s="226"/>
      <c r="BD174" s="226"/>
      <c r="BE174" s="226"/>
    </row>
    <row r="175" spans="1:78">
      <c r="A175" s="225" t="s">
        <v>16</v>
      </c>
      <c r="B175" s="22" t="str">
        <f t="shared" si="102"/>
        <v/>
      </c>
      <c r="C175" s="23" t="str">
        <f t="shared" si="103"/>
        <v/>
      </c>
      <c r="D175" s="61"/>
      <c r="E175" s="23" t="str">
        <f t="shared" si="104"/>
        <v/>
      </c>
      <c r="F175" s="23" t="str">
        <f t="shared" si="104"/>
        <v/>
      </c>
      <c r="G175" s="23" t="str">
        <f t="shared" si="104"/>
        <v/>
      </c>
      <c r="H175" s="23"/>
      <c r="I175" s="23" t="str">
        <f t="shared" si="104"/>
        <v/>
      </c>
      <c r="J175" s="157" t="str">
        <f t="shared" si="106"/>
        <v>TFHCV4</v>
      </c>
      <c r="K175" s="226">
        <f t="shared" si="109"/>
        <v>3.423667084889694</v>
      </c>
      <c r="L175" s="226">
        <f t="shared" si="110"/>
        <v>3.4785150915576319</v>
      </c>
      <c r="M175" s="226">
        <f t="shared" si="110"/>
        <v>3.5333630982255699</v>
      </c>
      <c r="N175" s="226">
        <f t="shared" si="110"/>
        <v>3.5882111048935075</v>
      </c>
      <c r="O175" s="226">
        <f t="shared" si="110"/>
        <v>3.6180489174649546</v>
      </c>
      <c r="P175" s="226">
        <f t="shared" si="110"/>
        <v>3.6478867300364013</v>
      </c>
      <c r="Q175" s="226">
        <f t="shared" si="110"/>
        <v>3.5884359624935622</v>
      </c>
      <c r="R175" s="226">
        <f t="shared" si="110"/>
        <v>3.5289851949507232</v>
      </c>
      <c r="S175" s="226">
        <f t="shared" si="110"/>
        <v>3.4695344274078845</v>
      </c>
      <c r="T175" s="226">
        <f t="shared" si="110"/>
        <v>3.5314288270321907</v>
      </c>
      <c r="U175" s="226">
        <f t="shared" si="110"/>
        <v>3.5933232266564969</v>
      </c>
      <c r="V175" s="226">
        <f t="shared" si="110"/>
        <v>3.6552176262808032</v>
      </c>
      <c r="W175" s="226">
        <f t="shared" si="110"/>
        <v>3.7171120259051094</v>
      </c>
      <c r="X175" s="226">
        <f t="shared" si="110"/>
        <v>3.7790064255294156</v>
      </c>
      <c r="Y175" s="226">
        <f t="shared" si="110"/>
        <v>3.8409008251537218</v>
      </c>
      <c r="Z175" s="226">
        <f t="shared" si="110"/>
        <v>3.902795224778028</v>
      </c>
      <c r="AA175" s="226">
        <f t="shared" si="110"/>
        <v>3.9646896244023342</v>
      </c>
      <c r="AB175" s="226">
        <f t="shared" si="110"/>
        <v>4.0265840240266408</v>
      </c>
      <c r="AC175" s="226">
        <f t="shared" si="110"/>
        <v>4.0884784236509484</v>
      </c>
      <c r="AD175" s="226">
        <f t="shared" si="110"/>
        <v>4.1912960184730901</v>
      </c>
      <c r="AE175" s="226">
        <f t="shared" si="110"/>
        <v>4.2941136132952318</v>
      </c>
      <c r="AF175" s="226">
        <f t="shared" si="110"/>
        <v>4.3969312081173735</v>
      </c>
      <c r="AG175" s="226">
        <f t="shared" si="110"/>
        <v>4.4997488029395152</v>
      </c>
      <c r="AH175" s="226">
        <f t="shared" si="110"/>
        <v>4.6025663977616569</v>
      </c>
      <c r="AI175" s="226">
        <f t="shared" si="110"/>
        <v>4.7053839925837986</v>
      </c>
      <c r="AJ175" s="226">
        <f t="shared" si="110"/>
        <v>4.8082015874059403</v>
      </c>
      <c r="AK175" s="226">
        <f t="shared" si="110"/>
        <v>4.911019182228082</v>
      </c>
      <c r="AL175" s="226">
        <f t="shared" si="110"/>
        <v>5.0138367770502237</v>
      </c>
      <c r="AM175" s="226">
        <f t="shared" si="110"/>
        <v>5.1166543718723645</v>
      </c>
      <c r="AN175" s="226">
        <f t="shared" si="110"/>
        <v>5.2666233690911985</v>
      </c>
      <c r="AO175" s="226">
        <f t="shared" si="110"/>
        <v>6.6163443440607024</v>
      </c>
      <c r="AP175" s="226">
        <f t="shared" si="110"/>
        <v>6.6163443440607024</v>
      </c>
      <c r="AQ175" s="226">
        <f t="shared" si="110"/>
        <v>6.6163443440607024</v>
      </c>
      <c r="AZ175" s="226"/>
      <c r="BA175" s="226"/>
      <c r="BB175" s="226"/>
      <c r="BC175" s="226"/>
      <c r="BD175" s="226"/>
      <c r="BE175" s="226"/>
    </row>
    <row r="176" spans="1:78">
      <c r="A176" s="225" t="s">
        <v>16</v>
      </c>
      <c r="B176" s="22" t="str">
        <f t="shared" si="102"/>
        <v/>
      </c>
      <c r="C176" s="23" t="str">
        <f t="shared" si="103"/>
        <v/>
      </c>
      <c r="D176" s="61"/>
      <c r="E176" s="23" t="str">
        <f t="shared" si="104"/>
        <v/>
      </c>
      <c r="F176" s="23" t="str">
        <f t="shared" si="104"/>
        <v/>
      </c>
      <c r="G176" s="23" t="str">
        <f t="shared" si="104"/>
        <v/>
      </c>
      <c r="H176" s="23"/>
      <c r="I176" s="23" t="str">
        <f t="shared" si="104"/>
        <v/>
      </c>
      <c r="J176" s="157" t="str">
        <f t="shared" si="106"/>
        <v>TFHCV5</v>
      </c>
      <c r="K176" s="226">
        <f t="shared" si="109"/>
        <v>2.0433999272590588</v>
      </c>
      <c r="L176" s="226">
        <f t="shared" si="110"/>
        <v>2.0761357073616908</v>
      </c>
      <c r="M176" s="226">
        <f t="shared" si="110"/>
        <v>2.1088714874643228</v>
      </c>
      <c r="N176" s="226">
        <f t="shared" si="110"/>
        <v>2.1416072675669553</v>
      </c>
      <c r="O176" s="226">
        <f t="shared" si="110"/>
        <v>2.1594158285415772</v>
      </c>
      <c r="P176" s="226">
        <f t="shared" si="110"/>
        <v>2.1772243895161991</v>
      </c>
      <c r="Q176" s="226">
        <f t="shared" si="110"/>
        <v>2.1417414727896604</v>
      </c>
      <c r="R176" s="226">
        <f t="shared" si="110"/>
        <v>2.1062585560631217</v>
      </c>
      <c r="S176" s="226">
        <f t="shared" si="110"/>
        <v>2.070775639336583</v>
      </c>
      <c r="T176" s="226">
        <f t="shared" si="110"/>
        <v>2.1077170266134728</v>
      </c>
      <c r="U176" s="226">
        <f t="shared" si="110"/>
        <v>2.1446584138903626</v>
      </c>
      <c r="V176" s="226">
        <f t="shared" si="110"/>
        <v>2.1815998011672524</v>
      </c>
      <c r="W176" s="226">
        <f t="shared" si="110"/>
        <v>2.2185411884441422</v>
      </c>
      <c r="X176" s="226">
        <f t="shared" si="110"/>
        <v>2.2554825757210319</v>
      </c>
      <c r="Y176" s="226">
        <f t="shared" si="110"/>
        <v>2.2924239629979217</v>
      </c>
      <c r="Z176" s="226">
        <f t="shared" si="110"/>
        <v>2.3293653502748115</v>
      </c>
      <c r="AA176" s="226">
        <f t="shared" si="110"/>
        <v>2.3663067375517013</v>
      </c>
      <c r="AB176" s="226">
        <f t="shared" si="110"/>
        <v>2.4032481248285911</v>
      </c>
      <c r="AC176" s="226">
        <f t="shared" si="110"/>
        <v>2.4401895121054822</v>
      </c>
      <c r="AD176" s="226">
        <f t="shared" si="110"/>
        <v>2.5015557199087404</v>
      </c>
      <c r="AE176" s="226">
        <f t="shared" si="110"/>
        <v>2.5629219277119986</v>
      </c>
      <c r="AF176" s="226">
        <f t="shared" si="110"/>
        <v>2.6242881355152567</v>
      </c>
      <c r="AG176" s="226">
        <f t="shared" si="110"/>
        <v>2.6856543433185149</v>
      </c>
      <c r="AH176" s="226">
        <f t="shared" si="110"/>
        <v>2.7470205511217731</v>
      </c>
      <c r="AI176" s="226">
        <f t="shared" si="110"/>
        <v>2.8083867589250313</v>
      </c>
      <c r="AJ176" s="226">
        <f t="shared" si="110"/>
        <v>2.8697529667282895</v>
      </c>
      <c r="AK176" s="226">
        <f t="shared" si="110"/>
        <v>2.9311191745315477</v>
      </c>
      <c r="AL176" s="226">
        <f t="shared" si="110"/>
        <v>2.9924853823348059</v>
      </c>
      <c r="AM176" s="226">
        <f t="shared" si="110"/>
        <v>3.0538515901380623</v>
      </c>
      <c r="AN176" s="226">
        <f t="shared" si="110"/>
        <v>3.1433598952418431</v>
      </c>
      <c r="AO176" s="226">
        <f t="shared" si="110"/>
        <v>3.9489346411758715</v>
      </c>
      <c r="AP176" s="226">
        <f t="shared" si="110"/>
        <v>3.9489346411758715</v>
      </c>
      <c r="AQ176" s="226">
        <f t="shared" si="110"/>
        <v>3.9489346411758715</v>
      </c>
      <c r="AZ176" s="226"/>
      <c r="BA176" s="226"/>
      <c r="BB176" s="226"/>
      <c r="BC176" s="226"/>
      <c r="BD176" s="226"/>
      <c r="BE176" s="226"/>
    </row>
    <row r="177" spans="1:57">
      <c r="A177" s="225" t="s">
        <v>16</v>
      </c>
      <c r="B177" s="22" t="str">
        <f t="shared" si="102"/>
        <v/>
      </c>
      <c r="C177" s="23" t="str">
        <f t="shared" si="103"/>
        <v/>
      </c>
      <c r="D177" s="61"/>
      <c r="E177" s="23" t="str">
        <f t="shared" si="104"/>
        <v/>
      </c>
      <c r="F177" s="23" t="str">
        <f t="shared" si="104"/>
        <v/>
      </c>
      <c r="G177" s="23" t="str">
        <f t="shared" si="104"/>
        <v/>
      </c>
      <c r="H177" s="23"/>
      <c r="I177" s="23" t="str">
        <f t="shared" si="104"/>
        <v/>
      </c>
      <c r="J177" s="157" t="str">
        <f t="shared" si="106"/>
        <v>TFHCV6</v>
      </c>
      <c r="K177" s="226">
        <f t="shared" si="109"/>
        <v>51.883602656707552</v>
      </c>
      <c r="L177" s="226">
        <f t="shared" si="110"/>
        <v>52.714791003562667</v>
      </c>
      <c r="M177" s="226">
        <f t="shared" si="110"/>
        <v>53.545979350417781</v>
      </c>
      <c r="N177" s="226">
        <f t="shared" si="110"/>
        <v>54.377167697272895</v>
      </c>
      <c r="O177" s="226">
        <f t="shared" si="110"/>
        <v>54.829341688848984</v>
      </c>
      <c r="P177" s="226">
        <f t="shared" si="110"/>
        <v>55.28151568042508</v>
      </c>
      <c r="Q177" s="226">
        <f t="shared" si="110"/>
        <v>54.380575278117149</v>
      </c>
      <c r="R177" s="226">
        <f t="shared" si="110"/>
        <v>53.479634875809218</v>
      </c>
      <c r="S177" s="226">
        <f t="shared" si="110"/>
        <v>52.578694473501294</v>
      </c>
      <c r="T177" s="226">
        <f t="shared" si="110"/>
        <v>53.516666641109538</v>
      </c>
      <c r="U177" s="226">
        <f t="shared" si="110"/>
        <v>54.454638808717782</v>
      </c>
      <c r="V177" s="226">
        <f t="shared" si="110"/>
        <v>55.392610976326026</v>
      </c>
      <c r="W177" s="226">
        <f t="shared" si="110"/>
        <v>56.33058314393427</v>
      </c>
      <c r="X177" s="226">
        <f t="shared" si="110"/>
        <v>57.268555311542514</v>
      </c>
      <c r="Y177" s="226">
        <f t="shared" si="110"/>
        <v>58.206527479150758</v>
      </c>
      <c r="Z177" s="226">
        <f t="shared" si="110"/>
        <v>59.144499646759002</v>
      </c>
      <c r="AA177" s="226">
        <f t="shared" si="110"/>
        <v>60.082471814367246</v>
      </c>
      <c r="AB177" s="226">
        <f t="shared" si="110"/>
        <v>61.02044398197549</v>
      </c>
      <c r="AC177" s="226">
        <f t="shared" si="110"/>
        <v>61.958416149583726</v>
      </c>
      <c r="AD177" s="226">
        <f t="shared" si="110"/>
        <v>63.516554573560256</v>
      </c>
      <c r="AE177" s="226">
        <f t="shared" si="110"/>
        <v>65.074692997536786</v>
      </c>
      <c r="AF177" s="226">
        <f t="shared" si="110"/>
        <v>66.632831421513316</v>
      </c>
      <c r="AG177" s="226">
        <f t="shared" si="110"/>
        <v>68.190969845489846</v>
      </c>
      <c r="AH177" s="226">
        <f t="shared" si="110"/>
        <v>69.749108269466376</v>
      </c>
      <c r="AI177" s="226">
        <f t="shared" si="110"/>
        <v>71.307246693442906</v>
      </c>
      <c r="AJ177" s="226">
        <f t="shared" si="110"/>
        <v>72.865385117419436</v>
      </c>
      <c r="AK177" s="226">
        <f t="shared" si="110"/>
        <v>74.423523541395966</v>
      </c>
      <c r="AL177" s="226">
        <f t="shared" si="110"/>
        <v>75.981661965372496</v>
      </c>
      <c r="AM177" s="226">
        <f t="shared" si="110"/>
        <v>77.539800389349026</v>
      </c>
      <c r="AN177" s="226">
        <f t="shared" si="110"/>
        <v>79.812489780460638</v>
      </c>
      <c r="AO177" s="226">
        <f t="shared" si="110"/>
        <v>100.2666943004652</v>
      </c>
      <c r="AP177" s="226">
        <f t="shared" si="110"/>
        <v>100.2666943004652</v>
      </c>
      <c r="AQ177" s="226">
        <f t="shared" si="110"/>
        <v>100.2666943004652</v>
      </c>
      <c r="AZ177" s="226"/>
      <c r="BA177" s="226"/>
      <c r="BB177" s="226"/>
      <c r="BC177" s="226"/>
      <c r="BD177" s="226"/>
      <c r="BE177" s="226"/>
    </row>
    <row r="178" spans="1:57">
      <c r="A178" s="225" t="s">
        <v>16</v>
      </c>
      <c r="B178" s="22" t="str">
        <f t="shared" si="102"/>
        <v/>
      </c>
      <c r="C178" s="23" t="str">
        <f t="shared" si="103"/>
        <v/>
      </c>
      <c r="D178" s="61"/>
      <c r="E178" s="23" t="str">
        <f t="shared" si="104"/>
        <v/>
      </c>
      <c r="F178" s="23" t="str">
        <f t="shared" si="104"/>
        <v/>
      </c>
      <c r="G178" s="23" t="str">
        <f t="shared" si="104"/>
        <v/>
      </c>
      <c r="H178" s="23"/>
      <c r="I178" s="23" t="str">
        <f t="shared" si="104"/>
        <v/>
      </c>
      <c r="J178" s="157" t="str">
        <f t="shared" si="106"/>
        <v>TFHCV7</v>
      </c>
      <c r="K178" s="226">
        <f t="shared" si="109"/>
        <v>21.803352870590057</v>
      </c>
      <c r="L178" s="226">
        <f t="shared" si="110"/>
        <v>22.152648060215089</v>
      </c>
      <c r="M178" s="226">
        <f t="shared" si="110"/>
        <v>22.501943249840121</v>
      </c>
      <c r="N178" s="226">
        <f t="shared" si="110"/>
        <v>22.851238439465153</v>
      </c>
      <c r="O178" s="226">
        <f t="shared" si="110"/>
        <v>23.041258187370268</v>
      </c>
      <c r="P178" s="226">
        <f t="shared" si="110"/>
        <v>23.231277935275386</v>
      </c>
      <c r="Q178" s="226">
        <f t="shared" si="110"/>
        <v>22.85267042729518</v>
      </c>
      <c r="R178" s="226">
        <f t="shared" si="110"/>
        <v>22.474062919314974</v>
      </c>
      <c r="S178" s="226">
        <f t="shared" si="110"/>
        <v>22.095455411334772</v>
      </c>
      <c r="T178" s="226">
        <f t="shared" si="110"/>
        <v>22.489624996829253</v>
      </c>
      <c r="U178" s="226">
        <f t="shared" si="110"/>
        <v>22.883794582323734</v>
      </c>
      <c r="V178" s="226">
        <f t="shared" si="110"/>
        <v>23.277964167818215</v>
      </c>
      <c r="W178" s="226">
        <f t="shared" si="110"/>
        <v>23.672133753312696</v>
      </c>
      <c r="X178" s="226">
        <f t="shared" si="110"/>
        <v>24.066303338807177</v>
      </c>
      <c r="Y178" s="226">
        <f t="shared" si="110"/>
        <v>24.460472924301659</v>
      </c>
      <c r="Z178" s="226">
        <f t="shared" si="110"/>
        <v>24.85464250979614</v>
      </c>
      <c r="AA178" s="226">
        <f t="shared" si="110"/>
        <v>25.248812095290621</v>
      </c>
      <c r="AB178" s="226">
        <f t="shared" si="110"/>
        <v>25.642981680785102</v>
      </c>
      <c r="AC178" s="226">
        <f t="shared" si="110"/>
        <v>26.037151266279583</v>
      </c>
      <c r="AD178" s="226">
        <f t="shared" si="110"/>
        <v>26.691936981604101</v>
      </c>
      <c r="AE178" s="226">
        <f t="shared" si="110"/>
        <v>27.346722696928619</v>
      </c>
      <c r="AF178" s="226">
        <f t="shared" si="110"/>
        <v>28.001508412253138</v>
      </c>
      <c r="AG178" s="226">
        <f t="shared" si="110"/>
        <v>28.656294127577656</v>
      </c>
      <c r="AH178" s="226">
        <f t="shared" si="110"/>
        <v>29.311079842902174</v>
      </c>
      <c r="AI178" s="226">
        <f t="shared" si="110"/>
        <v>29.965865558226692</v>
      </c>
      <c r="AJ178" s="226">
        <f t="shared" si="110"/>
        <v>30.620651273551211</v>
      </c>
      <c r="AK178" s="226">
        <f t="shared" si="110"/>
        <v>31.275436988875729</v>
      </c>
      <c r="AL178" s="226">
        <f t="shared" si="110"/>
        <v>31.930222704200247</v>
      </c>
      <c r="AM178" s="226">
        <f t="shared" si="110"/>
        <v>32.585008419524769</v>
      </c>
      <c r="AN178" s="226">
        <f t="shared" si="110"/>
        <v>33.540074109305792</v>
      </c>
      <c r="AO178" s="226">
        <f t="shared" si="110"/>
        <v>42.135665317335032</v>
      </c>
      <c r="AP178" s="226">
        <f t="shared" si="110"/>
        <v>42.135665317335032</v>
      </c>
      <c r="AQ178" s="226">
        <f t="shared" si="110"/>
        <v>42.135665317335032</v>
      </c>
      <c r="AZ178" s="226"/>
      <c r="BA178" s="226"/>
      <c r="BB178" s="226"/>
      <c r="BC178" s="226"/>
      <c r="BD178" s="226"/>
      <c r="BE178" s="226"/>
    </row>
    <row r="179" spans="1:57">
      <c r="A179" s="225" t="s">
        <v>16</v>
      </c>
      <c r="B179" s="22" t="str">
        <f t="shared" si="102"/>
        <v/>
      </c>
      <c r="C179" s="23" t="str">
        <f t="shared" si="103"/>
        <v/>
      </c>
      <c r="D179" s="61"/>
      <c r="E179" s="23" t="str">
        <f t="shared" si="104"/>
        <v/>
      </c>
      <c r="F179" s="23" t="str">
        <f t="shared" si="104"/>
        <v/>
      </c>
      <c r="G179" s="23" t="str">
        <f t="shared" si="104"/>
        <v/>
      </c>
      <c r="H179" s="23"/>
      <c r="I179" s="23" t="str">
        <f t="shared" si="104"/>
        <v/>
      </c>
      <c r="J179" s="157" t="str">
        <f t="shared" si="106"/>
        <v>TFHCV8</v>
      </c>
      <c r="K179" s="226">
        <f t="shared" si="109"/>
        <v>1.0249985708336284</v>
      </c>
      <c r="L179" s="226">
        <f t="shared" si="110"/>
        <v>1.0414193054009091</v>
      </c>
      <c r="M179" s="226">
        <f t="shared" si="110"/>
        <v>1.0578400399681898</v>
      </c>
      <c r="N179" s="226">
        <f t="shared" si="110"/>
        <v>1.0742607745354706</v>
      </c>
      <c r="O179" s="226">
        <f t="shared" si="110"/>
        <v>1.0831938029182582</v>
      </c>
      <c r="P179" s="226">
        <f t="shared" si="110"/>
        <v>1.0921268313010455</v>
      </c>
      <c r="Q179" s="226">
        <f t="shared" si="110"/>
        <v>1.0743280937908137</v>
      </c>
      <c r="R179" s="226">
        <f t="shared" si="110"/>
        <v>1.056529356280582</v>
      </c>
      <c r="S179" s="226">
        <f t="shared" si="110"/>
        <v>1.0387306187703502</v>
      </c>
      <c r="T179" s="226">
        <f t="shared" si="110"/>
        <v>1.0572609459267255</v>
      </c>
      <c r="U179" s="226">
        <f t="shared" si="110"/>
        <v>1.0757912730831007</v>
      </c>
      <c r="V179" s="226">
        <f t="shared" si="110"/>
        <v>1.094321600239476</v>
      </c>
      <c r="W179" s="226">
        <f t="shared" si="110"/>
        <v>1.1128519273958513</v>
      </c>
      <c r="X179" s="226">
        <f t="shared" si="110"/>
        <v>1.1313822545522265</v>
      </c>
      <c r="Y179" s="226">
        <f t="shared" si="110"/>
        <v>1.1499125817086018</v>
      </c>
      <c r="Z179" s="226">
        <f t="shared" si="110"/>
        <v>1.168442908864977</v>
      </c>
      <c r="AA179" s="226">
        <f t="shared" si="110"/>
        <v>1.1869732360213523</v>
      </c>
      <c r="AB179" s="226">
        <f t="shared" si="110"/>
        <v>1.2055035631777276</v>
      </c>
      <c r="AC179" s="226">
        <f t="shared" si="110"/>
        <v>1.2240338903341026</v>
      </c>
      <c r="AD179" s="226">
        <f t="shared" si="110"/>
        <v>1.2548160561043593</v>
      </c>
      <c r="AE179" s="226">
        <f t="shared" si="110"/>
        <v>1.285598221874616</v>
      </c>
      <c r="AF179" s="226">
        <f t="shared" si="110"/>
        <v>1.3163803876448728</v>
      </c>
      <c r="AG179" s="226">
        <f t="shared" si="110"/>
        <v>1.3471625534151295</v>
      </c>
      <c r="AH179" s="226">
        <f t="shared" si="110"/>
        <v>1.3779447191853862</v>
      </c>
      <c r="AI179" s="226">
        <f t="shared" si="110"/>
        <v>1.4087268849556429</v>
      </c>
      <c r="AJ179" s="226">
        <f t="shared" si="110"/>
        <v>1.4395090507258996</v>
      </c>
      <c r="AK179" s="226">
        <f t="shared" si="110"/>
        <v>1.4702912164961564</v>
      </c>
      <c r="AL179" s="226">
        <f t="shared" si="110"/>
        <v>1.5010733822664131</v>
      </c>
      <c r="AM179" s="226">
        <f t="shared" si="110"/>
        <v>1.53185554803667</v>
      </c>
      <c r="AN179" s="226">
        <f t="shared" si="110"/>
        <v>1.5767541915108236</v>
      </c>
      <c r="AO179" s="226">
        <f t="shared" si="110"/>
        <v>1.9808419827782056</v>
      </c>
      <c r="AP179" s="226">
        <f t="shared" si="110"/>
        <v>1.9808419827782056</v>
      </c>
      <c r="AQ179" s="226">
        <f t="shared" si="110"/>
        <v>1.9808419827782056</v>
      </c>
      <c r="AZ179" s="226"/>
      <c r="BA179" s="226"/>
      <c r="BB179" s="226"/>
      <c r="BC179" s="226"/>
      <c r="BD179" s="226"/>
      <c r="BE179" s="226"/>
    </row>
    <row r="180" spans="1:57">
      <c r="A180" s="225" t="s">
        <v>16</v>
      </c>
      <c r="B180" s="22"/>
      <c r="C180" s="23"/>
      <c r="D180" s="61"/>
      <c r="E180" s="23"/>
      <c r="F180" s="23"/>
      <c r="G180" s="23"/>
      <c r="H180" s="23"/>
      <c r="I180" s="23"/>
      <c r="J180" s="157" t="str">
        <f t="shared" si="106"/>
        <v>TFHCV9</v>
      </c>
      <c r="K180" s="226">
        <f t="shared" si="109"/>
        <v>0.87558249537595634</v>
      </c>
      <c r="L180" s="226">
        <f t="shared" si="110"/>
        <v>0.88960954688358196</v>
      </c>
      <c r="M180" s="226">
        <f t="shared" si="110"/>
        <v>0.90363659839120758</v>
      </c>
      <c r="N180" s="226">
        <f t="shared" si="110"/>
        <v>0.91766364989883309</v>
      </c>
      <c r="O180" s="226">
        <f t="shared" si="110"/>
        <v>0.92529449300947664</v>
      </c>
      <c r="P180" s="226">
        <f t="shared" si="110"/>
        <v>0.93292533612012019</v>
      </c>
      <c r="Q180" s="226">
        <f t="shared" si="110"/>
        <v>0.91772115589275094</v>
      </c>
      <c r="R180" s="226">
        <f t="shared" si="110"/>
        <v>0.90251697566538169</v>
      </c>
      <c r="S180" s="226">
        <f t="shared" si="110"/>
        <v>0.88731279543801245</v>
      </c>
      <c r="T180" s="226">
        <f t="shared" si="110"/>
        <v>0.90314192003719729</v>
      </c>
      <c r="U180" s="226">
        <f t="shared" si="110"/>
        <v>0.91897104463638213</v>
      </c>
      <c r="V180" s="226">
        <f t="shared" si="110"/>
        <v>0.93480016923556697</v>
      </c>
      <c r="W180" s="226">
        <f t="shared" si="110"/>
        <v>0.95062929383475181</v>
      </c>
      <c r="X180" s="226">
        <f t="shared" si="110"/>
        <v>0.96645841843393665</v>
      </c>
      <c r="Y180" s="226">
        <f t="shared" si="110"/>
        <v>0.98228754303312149</v>
      </c>
      <c r="Z180" s="226">
        <f t="shared" si="110"/>
        <v>0.99811666763230633</v>
      </c>
      <c r="AA180" s="226">
        <f t="shared" si="110"/>
        <v>1.0139457922314912</v>
      </c>
      <c r="AB180" s="226">
        <f t="shared" si="110"/>
        <v>1.029774916830676</v>
      </c>
      <c r="AC180" s="226">
        <f t="shared" si="110"/>
        <v>1.0456040414298606</v>
      </c>
      <c r="AD180" s="226">
        <f t="shared" si="110"/>
        <v>1.0718990298182616</v>
      </c>
      <c r="AE180" s="226">
        <f t="shared" si="110"/>
        <v>1.0981940182066625</v>
      </c>
      <c r="AF180" s="226">
        <f t="shared" si="110"/>
        <v>1.1244890065950635</v>
      </c>
      <c r="AG180" s="226">
        <f t="shared" si="110"/>
        <v>1.1507839949834644</v>
      </c>
      <c r="AH180" s="226">
        <f t="shared" si="110"/>
        <v>1.1770789833718653</v>
      </c>
      <c r="AI180" s="226">
        <f t="shared" si="110"/>
        <v>1.2033739717602663</v>
      </c>
      <c r="AJ180" s="226">
        <f t="shared" si="110"/>
        <v>1.2296689601486672</v>
      </c>
      <c r="AK180" s="226">
        <f t="shared" si="110"/>
        <v>1.2559639485370682</v>
      </c>
      <c r="AL180" s="226">
        <f t="shared" si="110"/>
        <v>1.2822589369254691</v>
      </c>
      <c r="AM180" s="226">
        <f t="shared" si="110"/>
        <v>1.3085539253138694</v>
      </c>
      <c r="AN180" s="226">
        <f t="shared" si="110"/>
        <v>1.3469076044415602</v>
      </c>
      <c r="AO180" s="226">
        <f t="shared" si="110"/>
        <v>1.6920907165907786</v>
      </c>
      <c r="AP180" s="226">
        <f t="shared" si="110"/>
        <v>1.6920907165907786</v>
      </c>
      <c r="AQ180" s="226">
        <f t="shared" ref="AQ180" si="111">IF(AQ$169=-1,AR180,IF(AQ$169=99,AP180,IF(AQ$169=0,INDEX($F58:$L58,0,AQ$167),(INDEX($F58:$L58,0,AQ$169+1)-INDEX($F58:$L58,0,AQ$169))/(INDEX($F$4:$L$4,0,AQ$169+1)-INDEX($F$4:$L$4,0,AQ$169))+AP180)))</f>
        <v>1.6920907165907786</v>
      </c>
      <c r="AZ180" s="226"/>
      <c r="BA180" s="226"/>
      <c r="BB180" s="226"/>
      <c r="BC180" s="226"/>
      <c r="BD180" s="226"/>
      <c r="BE180" s="226"/>
    </row>
    <row r="181" spans="1:57">
      <c r="A181" s="225" t="s">
        <v>16</v>
      </c>
      <c r="B181" s="22"/>
      <c r="C181" s="23"/>
      <c r="D181" s="61"/>
      <c r="E181" s="23"/>
      <c r="F181" s="23"/>
      <c r="G181" s="23"/>
      <c r="H181" s="23"/>
      <c r="I181" s="23"/>
      <c r="J181" s="157" t="str">
        <f t="shared" si="106"/>
        <v>TFRCO</v>
      </c>
      <c r="K181" s="226">
        <f t="shared" ref="K181:AQ183" si="112">J142</f>
        <v>22</v>
      </c>
      <c r="L181" s="226">
        <f t="shared" si="112"/>
        <v>22.352445526032653</v>
      </c>
      <c r="M181" s="226">
        <f t="shared" si="112"/>
        <v>22.704891052065307</v>
      </c>
      <c r="N181" s="226">
        <f t="shared" si="112"/>
        <v>23.057336578097956</v>
      </c>
      <c r="O181" s="226">
        <f t="shared" si="112"/>
        <v>23.249070137552081</v>
      </c>
      <c r="P181" s="226">
        <f t="shared" si="112"/>
        <v>23.44080369700621</v>
      </c>
      <c r="Q181" s="226">
        <f t="shared" si="112"/>
        <v>23.058781481202889</v>
      </c>
      <c r="R181" s="226">
        <f t="shared" si="112"/>
        <v>22.676759265399568</v>
      </c>
      <c r="S181" s="226">
        <f t="shared" si="112"/>
        <v>22.294737049596247</v>
      </c>
      <c r="T181" s="226">
        <f t="shared" si="112"/>
        <v>22.692461699210831</v>
      </c>
      <c r="U181" s="226">
        <f t="shared" si="112"/>
        <v>23.090186348825416</v>
      </c>
      <c r="V181" s="226">
        <f t="shared" si="112"/>
        <v>23.48791099844</v>
      </c>
      <c r="W181" s="226">
        <f t="shared" si="112"/>
        <v>23.885635648054585</v>
      </c>
      <c r="X181" s="226">
        <f t="shared" si="112"/>
        <v>24.283360297669169</v>
      </c>
      <c r="Y181" s="226">
        <f t="shared" si="112"/>
        <v>24.681084947283754</v>
      </c>
      <c r="Z181" s="226">
        <f t="shared" si="112"/>
        <v>25.078809596898338</v>
      </c>
      <c r="AA181" s="226">
        <f t="shared" si="112"/>
        <v>25.476534246512923</v>
      </c>
      <c r="AB181" s="226">
        <f t="shared" si="112"/>
        <v>25.874258896127508</v>
      </c>
      <c r="AC181" s="226">
        <f t="shared" si="112"/>
        <v>26.271983545742096</v>
      </c>
      <c r="AD181" s="226">
        <f t="shared" si="112"/>
        <v>26.932674854213751</v>
      </c>
      <c r="AE181" s="226">
        <f t="shared" si="112"/>
        <v>27.593366162685406</v>
      </c>
      <c r="AF181" s="226">
        <f t="shared" si="112"/>
        <v>28.254057471157061</v>
      </c>
      <c r="AG181" s="226">
        <f t="shared" si="112"/>
        <v>28.914748779628717</v>
      </c>
      <c r="AH181" s="226">
        <f t="shared" si="112"/>
        <v>29.575440088100372</v>
      </c>
      <c r="AI181" s="226">
        <f t="shared" si="112"/>
        <v>30.236131396572027</v>
      </c>
      <c r="AJ181" s="226">
        <f t="shared" si="112"/>
        <v>30.896822705043682</v>
      </c>
      <c r="AK181" s="226">
        <f t="shared" si="112"/>
        <v>31.557514013515338</v>
      </c>
      <c r="AL181" s="226">
        <f t="shared" si="112"/>
        <v>32.218205321986993</v>
      </c>
      <c r="AM181" s="226">
        <f t="shared" si="112"/>
        <v>32.878896630458662</v>
      </c>
      <c r="AN181" s="226">
        <f t="shared" si="112"/>
        <v>37.697294355774659</v>
      </c>
      <c r="AO181" s="226">
        <f t="shared" si="112"/>
        <v>42.515692081090634</v>
      </c>
      <c r="AP181" s="226">
        <f t="shared" si="112"/>
        <v>42.515692081090634</v>
      </c>
      <c r="AQ181" s="226">
        <f t="shared" si="112"/>
        <v>42.515692081090634</v>
      </c>
      <c r="AZ181" s="226"/>
      <c r="BA181" s="226"/>
      <c r="BB181" s="226"/>
      <c r="BC181" s="226"/>
      <c r="BD181" s="226"/>
      <c r="BE181" s="226"/>
    </row>
    <row r="182" spans="1:57">
      <c r="A182" s="225" t="s">
        <v>16</v>
      </c>
      <c r="B182" s="22"/>
      <c r="C182" s="23"/>
      <c r="D182" s="61"/>
      <c r="E182" s="23"/>
      <c r="F182" s="23"/>
      <c r="G182" s="23"/>
      <c r="H182" s="23"/>
      <c r="I182" s="23"/>
      <c r="J182" s="157" t="str">
        <f t="shared" si="106"/>
        <v>TFROT</v>
      </c>
      <c r="K182" s="226">
        <f t="shared" si="112"/>
        <v>25.099999999999998</v>
      </c>
      <c r="L182" s="226">
        <f t="shared" si="112"/>
        <v>25.50210830470089</v>
      </c>
      <c r="M182" s="226">
        <f t="shared" si="112"/>
        <v>25.904216609401782</v>
      </c>
      <c r="N182" s="226">
        <f t="shared" si="112"/>
        <v>26.306324914102674</v>
      </c>
      <c r="O182" s="226">
        <f t="shared" si="112"/>
        <v>26.525075475116246</v>
      </c>
      <c r="P182" s="226">
        <f t="shared" si="112"/>
        <v>26.743826036129818</v>
      </c>
      <c r="Q182" s="226">
        <f t="shared" si="112"/>
        <v>26.307973417190574</v>
      </c>
      <c r="R182" s="226">
        <f t="shared" si="112"/>
        <v>25.872120798251331</v>
      </c>
      <c r="S182" s="226">
        <f t="shared" si="112"/>
        <v>25.436268179312087</v>
      </c>
      <c r="T182" s="226">
        <f t="shared" si="112"/>
        <v>25.890035847736002</v>
      </c>
      <c r="U182" s="226">
        <f t="shared" si="112"/>
        <v>26.343803516159916</v>
      </c>
      <c r="V182" s="226">
        <f t="shared" si="112"/>
        <v>26.79757118458383</v>
      </c>
      <c r="W182" s="226">
        <f t="shared" si="112"/>
        <v>27.251338853007745</v>
      </c>
      <c r="X182" s="226">
        <f t="shared" si="112"/>
        <v>27.705106521431659</v>
      </c>
      <c r="Y182" s="226">
        <f t="shared" si="112"/>
        <v>28.158874189855574</v>
      </c>
      <c r="Z182" s="226">
        <f t="shared" si="112"/>
        <v>28.612641858279488</v>
      </c>
      <c r="AA182" s="226">
        <f t="shared" si="112"/>
        <v>29.066409526703403</v>
      </c>
      <c r="AB182" s="226">
        <f t="shared" si="112"/>
        <v>29.520177195127317</v>
      </c>
      <c r="AC182" s="226">
        <f t="shared" si="112"/>
        <v>29.973944863551218</v>
      </c>
      <c r="AD182" s="226">
        <f t="shared" si="112"/>
        <v>30.727733583671153</v>
      </c>
      <c r="AE182" s="226">
        <f t="shared" si="112"/>
        <v>31.481522303791088</v>
      </c>
      <c r="AF182" s="226">
        <f t="shared" si="112"/>
        <v>32.235311023911024</v>
      </c>
      <c r="AG182" s="226">
        <f t="shared" si="112"/>
        <v>32.989099744030959</v>
      </c>
      <c r="AH182" s="226">
        <f t="shared" si="112"/>
        <v>33.742888464150894</v>
      </c>
      <c r="AI182" s="226">
        <f t="shared" si="112"/>
        <v>34.49667718427083</v>
      </c>
      <c r="AJ182" s="226">
        <f t="shared" si="112"/>
        <v>35.250465904390765</v>
      </c>
      <c r="AK182" s="226">
        <f t="shared" si="112"/>
        <v>36.0042546245107</v>
      </c>
      <c r="AL182" s="226">
        <f t="shared" si="112"/>
        <v>36.758043344630636</v>
      </c>
      <c r="AM182" s="226">
        <f t="shared" si="112"/>
        <v>37.511832064750578</v>
      </c>
      <c r="AN182" s="226">
        <f t="shared" si="112"/>
        <v>43.009185833179259</v>
      </c>
      <c r="AO182" s="226">
        <f t="shared" si="112"/>
        <v>48.506539601607962</v>
      </c>
      <c r="AP182" s="226">
        <f t="shared" si="112"/>
        <v>48.506539601607962</v>
      </c>
      <c r="AQ182" s="226">
        <f t="shared" si="112"/>
        <v>48.506539601607962</v>
      </c>
      <c r="AZ182" s="226"/>
      <c r="BA182" s="226"/>
      <c r="BB182" s="226"/>
      <c r="BC182" s="226"/>
      <c r="BD182" s="226"/>
      <c r="BE182" s="226"/>
    </row>
    <row r="183" spans="1:57">
      <c r="A183" s="225" t="s">
        <v>16</v>
      </c>
      <c r="J183" s="157" t="str">
        <f t="shared" si="106"/>
        <v>TFREX</v>
      </c>
      <c r="K183" s="226">
        <f t="shared" si="112"/>
        <v>82</v>
      </c>
      <c r="L183" s="226">
        <f t="shared" si="112"/>
        <v>82</v>
      </c>
      <c r="M183" s="226">
        <f t="shared" si="112"/>
        <v>82</v>
      </c>
      <c r="N183" s="226">
        <f t="shared" si="112"/>
        <v>82</v>
      </c>
      <c r="O183" s="226">
        <f t="shared" si="112"/>
        <v>82</v>
      </c>
      <c r="P183" s="226">
        <f t="shared" si="112"/>
        <v>82</v>
      </c>
      <c r="Q183" s="226">
        <f t="shared" si="112"/>
        <v>79.765410049200213</v>
      </c>
      <c r="R183" s="226">
        <f t="shared" si="112"/>
        <v>77.530820098400426</v>
      </c>
      <c r="S183" s="226">
        <f t="shared" si="112"/>
        <v>75.296230147600639</v>
      </c>
      <c r="T183" s="226">
        <f t="shared" si="112"/>
        <v>76.570694839865482</v>
      </c>
      <c r="U183" s="226">
        <f t="shared" si="112"/>
        <v>77.845159532130324</v>
      </c>
      <c r="V183" s="226">
        <f t="shared" si="112"/>
        <v>79.119624224395167</v>
      </c>
      <c r="W183" s="226">
        <f t="shared" si="112"/>
        <v>80.39408891666001</v>
      </c>
      <c r="X183" s="226">
        <f t="shared" si="112"/>
        <v>81.668553608924853</v>
      </c>
      <c r="Y183" s="226">
        <f t="shared" si="112"/>
        <v>82.943018301189696</v>
      </c>
      <c r="Z183" s="226">
        <f t="shared" si="112"/>
        <v>84.217482993454539</v>
      </c>
      <c r="AA183" s="226">
        <f t="shared" si="112"/>
        <v>85.491947685719381</v>
      </c>
      <c r="AB183" s="226">
        <f t="shared" si="112"/>
        <v>86.766412377984224</v>
      </c>
      <c r="AC183" s="226">
        <f t="shared" si="112"/>
        <v>88.040877070249081</v>
      </c>
      <c r="AD183" s="226">
        <f t="shared" si="112"/>
        <v>89.889451104345511</v>
      </c>
      <c r="AE183" s="226">
        <f t="shared" si="112"/>
        <v>91.738025138441941</v>
      </c>
      <c r="AF183" s="226">
        <f t="shared" si="112"/>
        <v>93.586599172538371</v>
      </c>
      <c r="AG183" s="226">
        <f t="shared" si="112"/>
        <v>95.435173206634801</v>
      </c>
      <c r="AH183" s="226">
        <f t="shared" si="112"/>
        <v>97.28374724073123</v>
      </c>
      <c r="AI183" s="226">
        <f t="shared" si="112"/>
        <v>99.13232127482766</v>
      </c>
      <c r="AJ183" s="226">
        <f t="shared" si="112"/>
        <v>100.98089530892409</v>
      </c>
      <c r="AK183" s="226">
        <f t="shared" si="112"/>
        <v>102.82946934302052</v>
      </c>
      <c r="AL183" s="226">
        <f t="shared" si="112"/>
        <v>104.67804337711695</v>
      </c>
      <c r="AM183" s="226">
        <f t="shared" si="112"/>
        <v>106.52661741121335</v>
      </c>
      <c r="AN183" s="226">
        <f t="shared" si="112"/>
        <v>118.056857121503</v>
      </c>
      <c r="AO183" s="226">
        <f t="shared" si="112"/>
        <v>129.58709683179265</v>
      </c>
      <c r="AP183" s="226">
        <f t="shared" si="112"/>
        <v>129.58709683179265</v>
      </c>
      <c r="AQ183" s="226">
        <f t="shared" si="112"/>
        <v>129.58709683179265</v>
      </c>
      <c r="AZ183" s="226"/>
      <c r="BA183" s="226"/>
      <c r="BB183" s="226"/>
      <c r="BC183" s="226"/>
      <c r="BD183" s="226"/>
      <c r="BE183" s="226"/>
    </row>
    <row r="184" spans="1:57">
      <c r="A184" s="225"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I277"/>
  <sheetViews>
    <sheetView topLeftCell="A227" zoomScale="80" zoomScaleNormal="80" workbookViewId="0">
      <selection activeCell="E245" sqref="E245:F245"/>
    </sheetView>
  </sheetViews>
  <sheetFormatPr defaultColWidth="9.140625" defaultRowHeight="15"/>
  <cols>
    <col min="1" max="1" width="9" style="225" customWidth="1"/>
    <col min="2" max="2" width="11.140625" style="225" customWidth="1"/>
    <col min="3" max="3" width="42.85546875" style="225" customWidth="1"/>
    <col min="4" max="4" width="15.85546875" style="225" customWidth="1"/>
    <col min="5" max="5" width="10.140625" style="225" customWidth="1"/>
    <col min="6" max="7" width="7.42578125" style="225" customWidth="1"/>
    <col min="8" max="8" width="8.42578125" style="225" bestFit="1" customWidth="1"/>
    <col min="9" max="9" width="8.85546875" style="225" bestFit="1" customWidth="1"/>
    <col min="10" max="11" width="11.140625" style="225" bestFit="1" customWidth="1"/>
    <col min="12" max="12" width="9.140625" style="41" bestFit="1" customWidth="1"/>
    <col min="13" max="13" width="7.85546875" style="225" customWidth="1"/>
    <col min="14" max="15" width="8.42578125" style="225" bestFit="1" customWidth="1"/>
    <col min="16" max="17" width="8.42578125" style="225" customWidth="1"/>
    <col min="18" max="18" width="7.5703125" style="225" customWidth="1"/>
    <col min="19" max="19" width="7.85546875" style="225" customWidth="1"/>
    <col min="20" max="20" width="9.42578125" style="225" customWidth="1"/>
    <col min="21" max="21" width="8.140625" style="225" customWidth="1"/>
    <col min="22" max="22" width="9.85546875" style="225" customWidth="1"/>
    <col min="23" max="23" width="9.42578125" style="225" customWidth="1"/>
    <col min="24" max="24" width="9.7109375" style="225" customWidth="1"/>
    <col min="25" max="42" width="7.7109375" style="225" customWidth="1"/>
    <col min="43" max="53" width="9.140625" style="225"/>
    <col min="54" max="54" width="19.140625" style="225" customWidth="1"/>
    <col min="55" max="16384" width="9.140625" style="225"/>
  </cols>
  <sheetData>
    <row r="1" spans="1:58">
      <c r="A1" s="225" t="str">
        <f>IF(TRA,"TS DATA","")</f>
        <v>TS DATA</v>
      </c>
      <c r="B1" s="225" t="s">
        <v>17</v>
      </c>
      <c r="BA1" s="232" t="s">
        <v>223</v>
      </c>
      <c r="BB1" s="232" t="s">
        <v>561</v>
      </c>
      <c r="BC1" s="232" t="s">
        <v>197</v>
      </c>
      <c r="BD1" s="232" t="s">
        <v>569</v>
      </c>
      <c r="BE1" s="232"/>
      <c r="BF1" s="232"/>
    </row>
    <row r="2" spans="1:58" ht="15.75" thickBot="1">
      <c r="A2" s="225" t="s">
        <v>16</v>
      </c>
      <c r="B2" s="304" t="s">
        <v>296</v>
      </c>
      <c r="C2" s="304"/>
      <c r="L2" s="162"/>
      <c r="M2" s="162"/>
      <c r="N2" s="162"/>
      <c r="O2" s="162"/>
      <c r="P2" s="34"/>
      <c r="Q2" s="34"/>
      <c r="R2" s="34"/>
      <c r="S2" s="34"/>
      <c r="T2" s="34"/>
      <c r="U2" s="34"/>
      <c r="V2" s="34"/>
      <c r="W2" s="34"/>
      <c r="X2" s="34"/>
      <c r="Y2" s="34"/>
      <c r="Z2" s="34"/>
      <c r="AA2" s="34"/>
      <c r="AB2" s="34"/>
      <c r="AC2" s="34"/>
      <c r="AD2" s="34"/>
      <c r="AE2" s="34"/>
      <c r="AF2" s="34"/>
      <c r="AG2" s="34"/>
      <c r="AH2" s="34"/>
      <c r="AI2" s="34"/>
      <c r="AJ2" s="34"/>
      <c r="BA2" s="232"/>
      <c r="BB2" s="232"/>
      <c r="BC2" s="232"/>
      <c r="BD2" s="232" t="s">
        <v>565</v>
      </c>
      <c r="BE2" s="232" t="s">
        <v>565</v>
      </c>
      <c r="BF2" s="232" t="s">
        <v>578</v>
      </c>
    </row>
    <row r="3" spans="1:58">
      <c r="A3" s="225" t="s">
        <v>16</v>
      </c>
      <c r="B3" s="271"/>
      <c r="C3" s="232" t="str">
        <f>INDEX($BB$4:$BB$7,MATCH($D$3,$BA$4:$BA$7,0))</f>
        <v>PAMS Reference</v>
      </c>
      <c r="D3" s="236">
        <f>DriversGams!L162</f>
        <v>-1</v>
      </c>
      <c r="L3" s="40"/>
      <c r="BA3" s="232"/>
      <c r="BB3" s="232"/>
      <c r="BC3" s="232"/>
      <c r="BD3" s="232" t="s">
        <v>566</v>
      </c>
      <c r="BE3" s="232" t="s">
        <v>567</v>
      </c>
      <c r="BF3" s="232"/>
    </row>
    <row r="4" spans="1:58">
      <c r="A4" s="225" t="s">
        <v>16</v>
      </c>
      <c r="C4" s="5" t="s">
        <v>198</v>
      </c>
      <c r="D4" s="235">
        <f>INDEX($BC$4:$BC$7,MATCH($D$3,$BA$4:$BA$7,0))</f>
        <v>0</v>
      </c>
      <c r="E4" s="225">
        <v>2012</v>
      </c>
      <c r="F4" s="225">
        <v>2015</v>
      </c>
      <c r="G4" s="225">
        <v>2017</v>
      </c>
      <c r="H4" s="225">
        <v>2020</v>
      </c>
      <c r="I4" s="225">
        <v>2030</v>
      </c>
      <c r="J4" s="225">
        <v>2040</v>
      </c>
      <c r="K4" s="143">
        <v>2050</v>
      </c>
      <c r="L4" s="282"/>
      <c r="M4" s="282"/>
      <c r="N4" s="282"/>
      <c r="O4" s="282"/>
      <c r="P4" s="282"/>
      <c r="Q4" s="282"/>
      <c r="R4" s="282"/>
      <c r="S4" s="282"/>
      <c r="T4" s="282"/>
      <c r="U4" s="282"/>
      <c r="V4" s="282"/>
      <c r="W4" s="282"/>
      <c r="X4" s="282"/>
      <c r="Y4" s="282"/>
      <c r="Z4" s="282"/>
      <c r="AA4" s="282"/>
      <c r="AB4" s="282"/>
      <c r="AC4" s="282"/>
      <c r="AD4" s="282"/>
      <c r="AE4" s="282"/>
      <c r="AF4" s="282"/>
      <c r="AG4" s="282"/>
      <c r="AH4" s="282"/>
      <c r="AI4" s="282"/>
      <c r="AJ4" s="282"/>
      <c r="AK4" s="282"/>
      <c r="BA4" s="232">
        <v>-1</v>
      </c>
      <c r="BB4" s="232" t="s">
        <v>568</v>
      </c>
      <c r="BC4" s="232">
        <v>0</v>
      </c>
      <c r="BD4" s="223">
        <v>0.97499999999999998</v>
      </c>
      <c r="BE4" s="224">
        <v>0.95</v>
      </c>
      <c r="BF4" s="241">
        <v>1</v>
      </c>
    </row>
    <row r="5" spans="1:58" ht="15.75" thickBot="1">
      <c r="A5" s="225" t="s">
        <v>16</v>
      </c>
      <c r="B5" s="270"/>
      <c r="C5" s="270"/>
      <c r="K5" s="143"/>
      <c r="L5" s="225"/>
      <c r="BA5" s="232">
        <v>1</v>
      </c>
      <c r="BB5" s="232" t="s">
        <v>563</v>
      </c>
      <c r="BC5" s="232">
        <v>1</v>
      </c>
      <c r="BD5" s="221">
        <v>0.85</v>
      </c>
      <c r="BE5" s="224">
        <v>0.3</v>
      </c>
      <c r="BF5" s="242">
        <v>0</v>
      </c>
    </row>
    <row r="6" spans="1:58">
      <c r="A6" s="225" t="s">
        <v>16</v>
      </c>
      <c r="E6" s="226"/>
      <c r="F6" s="226"/>
      <c r="G6" s="226"/>
      <c r="H6" s="226"/>
      <c r="I6" s="226"/>
      <c r="J6" s="226"/>
      <c r="K6" s="171"/>
      <c r="L6" s="283"/>
      <c r="M6" s="283"/>
      <c r="N6" s="283"/>
      <c r="O6" s="283"/>
      <c r="P6" s="283"/>
      <c r="Q6" s="283"/>
      <c r="R6" s="283"/>
      <c r="S6" s="283"/>
      <c r="T6" s="283"/>
      <c r="U6" s="283"/>
      <c r="V6" s="283"/>
      <c r="W6" s="283"/>
      <c r="X6" s="283"/>
      <c r="Y6" s="283"/>
      <c r="Z6" s="283"/>
      <c r="AA6" s="283"/>
      <c r="AB6" s="283"/>
      <c r="AC6" s="283"/>
      <c r="AD6" s="283"/>
      <c r="AE6" s="283"/>
      <c r="AF6" s="283"/>
      <c r="AG6" s="283"/>
      <c r="AH6" s="283"/>
      <c r="AI6" s="283"/>
      <c r="AJ6" s="283"/>
      <c r="AK6" s="283"/>
      <c r="AL6" s="283"/>
      <c r="AM6" s="283"/>
      <c r="AN6" s="283"/>
      <c r="AO6" s="283"/>
      <c r="AP6" s="283"/>
      <c r="BA6" s="232">
        <v>2</v>
      </c>
      <c r="BB6" s="232" t="s">
        <v>579</v>
      </c>
      <c r="BC6" s="232">
        <v>1</v>
      </c>
      <c r="BD6" s="221">
        <v>0.85</v>
      </c>
      <c r="BE6" s="224">
        <v>0.67</v>
      </c>
      <c r="BF6" s="242">
        <v>1</v>
      </c>
    </row>
    <row r="7" spans="1:58">
      <c r="A7" s="225" t="s">
        <v>16</v>
      </c>
      <c r="BA7" s="232"/>
      <c r="BB7" s="232"/>
      <c r="BC7" s="232"/>
      <c r="BD7" s="221"/>
      <c r="BE7" s="224"/>
      <c r="BF7" s="242"/>
    </row>
    <row r="8" spans="1:58">
      <c r="A8" s="225" t="s">
        <v>16</v>
      </c>
    </row>
    <row r="9" spans="1:58">
      <c r="A9" s="225" t="s">
        <v>16</v>
      </c>
    </row>
    <row r="10" spans="1:58">
      <c r="A10" s="225" t="s">
        <v>16</v>
      </c>
      <c r="B10" s="271"/>
      <c r="C10" s="271"/>
    </row>
    <row r="11" spans="1:58" ht="15.75" thickBot="1">
      <c r="A11" s="225" t="s">
        <v>16</v>
      </c>
      <c r="B11" s="270" t="s">
        <v>56</v>
      </c>
      <c r="E11" s="225">
        <f>MATCH(E12,Drivers!$C$5:$AG$5,0)</f>
        <v>1</v>
      </c>
      <c r="F11" s="225">
        <f>MATCH(F12,Drivers!$C$5:$AG$5,0)</f>
        <v>4</v>
      </c>
      <c r="G11" s="225">
        <f>MATCH(G12,Drivers!$C$5:$AG$5,0)</f>
        <v>6</v>
      </c>
      <c r="H11" s="225">
        <f>MATCH(H12,Drivers!$C$5:$AG$5,0)</f>
        <v>9</v>
      </c>
      <c r="I11" s="225">
        <f>MATCH(I12,Drivers!$C$5:$AG$5,0)</f>
        <v>19</v>
      </c>
      <c r="J11" s="225">
        <f>MATCH(J12,Drivers!$C$5:$AG$5,0)</f>
        <v>29</v>
      </c>
      <c r="K11" s="225">
        <f>MATCH(K12,Drivers!$C$5:$AG$5,0)</f>
        <v>31</v>
      </c>
      <c r="M11" s="5" t="s">
        <v>41</v>
      </c>
      <c r="S11" s="5" t="s">
        <v>197</v>
      </c>
      <c r="BD11" s="30"/>
    </row>
    <row r="12" spans="1:58" ht="15.75" thickBot="1">
      <c r="A12" s="225" t="s">
        <v>16</v>
      </c>
      <c r="D12" s="270"/>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c r="BD12" s="30"/>
    </row>
    <row r="13" spans="1:58">
      <c r="A13" s="225" t="s">
        <v>16</v>
      </c>
      <c r="C13" s="225" t="s">
        <v>49</v>
      </c>
      <c r="D13" s="225" t="s">
        <v>47</v>
      </c>
      <c r="E13" s="226">
        <f>INDEX(Drivers!$C$31:$AG$33,1,E$11)</f>
        <v>26.517696951596729</v>
      </c>
      <c r="F13" s="226">
        <f>INDEX(Drivers!$C$31:$AG$33,1,F$11)</f>
        <v>26.235573092134736</v>
      </c>
      <c r="G13" s="226">
        <f>INDEX(Drivers!$C$31:$AG$33,1,G$11)</f>
        <v>26.125950018985858</v>
      </c>
      <c r="H13" s="226">
        <f>INDEX(Drivers!$C$31:$AG$33,1,H$11)</f>
        <v>27.09455867738976</v>
      </c>
      <c r="I13" s="226">
        <f>INDEX(Drivers!$C$31:$AG$33,1,I$11)</f>
        <v>26.514710316786477</v>
      </c>
      <c r="J13" s="226">
        <f>INDEX(Drivers!$C$31:$AG$33,1,J$11)</f>
        <v>23.049501217228059</v>
      </c>
      <c r="K13" s="226">
        <f>INDEX(Drivers!$C$31:$AG$33,1,K$11)</f>
        <v>19.509795942573113</v>
      </c>
      <c r="M13" s="226">
        <f>E13</f>
        <v>26.517696951596729</v>
      </c>
      <c r="N13" s="226">
        <f t="shared" ref="N13:Q15" si="0">H13</f>
        <v>27.09455867738976</v>
      </c>
      <c r="O13" s="226">
        <f t="shared" si="0"/>
        <v>26.514710316786477</v>
      </c>
      <c r="P13" s="226">
        <f t="shared" si="0"/>
        <v>23.049501217228059</v>
      </c>
      <c r="Q13" s="226">
        <f t="shared" si="0"/>
        <v>19.509795942573113</v>
      </c>
      <c r="S13" s="226">
        <f>E13</f>
        <v>26.517696951596729</v>
      </c>
      <c r="T13" s="226">
        <f t="shared" ref="T13:W15" si="1">H13</f>
        <v>27.09455867738976</v>
      </c>
      <c r="U13" s="226">
        <f t="shared" si="1"/>
        <v>26.514710316786477</v>
      </c>
      <c r="V13" s="226">
        <f t="shared" si="1"/>
        <v>23.049501217228059</v>
      </c>
      <c r="W13" s="226">
        <f t="shared" si="1"/>
        <v>19.509795942573113</v>
      </c>
      <c r="BD13" s="30"/>
    </row>
    <row r="14" spans="1:58">
      <c r="A14" s="225" t="s">
        <v>16</v>
      </c>
      <c r="C14" s="225" t="s">
        <v>51</v>
      </c>
      <c r="D14" s="225" t="s">
        <v>47</v>
      </c>
      <c r="E14" s="226">
        <f>INDEX(Drivers!$C$31:$AG$33,2,E$11)</f>
        <v>15.910618170958038</v>
      </c>
      <c r="F14" s="226">
        <f>INDEX(Drivers!$C$31:$AG$33,2,F$11)</f>
        <v>16.521147416430232</v>
      </c>
      <c r="G14" s="226">
        <f>INDEX(Drivers!$C$31:$AG$33,2,G$11)</f>
        <v>17.004099840860121</v>
      </c>
      <c r="H14" s="226">
        <f>INDEX(Drivers!$C$31:$AG$33,2,H$11)</f>
        <v>18.506614723638457</v>
      </c>
      <c r="I14" s="226">
        <f>INDEX(Drivers!$C$31:$AG$33,2,I$11)</f>
        <v>20.394394183928146</v>
      </c>
      <c r="J14" s="226">
        <f>INDEX(Drivers!$C$31:$AG$33,2,J$11)</f>
        <v>23.710576994261572</v>
      </c>
      <c r="K14" s="226">
        <f>INDEX(Drivers!$C$31:$AG$33,2,K$11)</f>
        <v>27.206014458263109</v>
      </c>
      <c r="M14" s="226">
        <f>E14</f>
        <v>15.910618170958038</v>
      </c>
      <c r="N14" s="226">
        <f t="shared" si="0"/>
        <v>18.506614723638457</v>
      </c>
      <c r="O14" s="226">
        <f t="shared" si="0"/>
        <v>20.394394183928146</v>
      </c>
      <c r="P14" s="226">
        <f t="shared" si="0"/>
        <v>23.710576994261572</v>
      </c>
      <c r="Q14" s="226">
        <f t="shared" si="0"/>
        <v>27.206014458263109</v>
      </c>
      <c r="S14" s="226">
        <f>E14</f>
        <v>15.910618170958038</v>
      </c>
      <c r="T14" s="226">
        <f t="shared" si="1"/>
        <v>18.506614723638457</v>
      </c>
      <c r="U14" s="226">
        <f t="shared" si="1"/>
        <v>20.394394183928146</v>
      </c>
      <c r="V14" s="226">
        <f t="shared" si="1"/>
        <v>23.710576994261572</v>
      </c>
      <c r="W14" s="226">
        <f t="shared" si="1"/>
        <v>27.206014458263109</v>
      </c>
      <c r="BD14" s="30"/>
    </row>
    <row r="15" spans="1:58">
      <c r="A15" s="225" t="s">
        <v>16</v>
      </c>
      <c r="C15" s="225" t="s">
        <v>50</v>
      </c>
      <c r="D15" s="225" t="s">
        <v>47</v>
      </c>
      <c r="E15" s="226">
        <f>INDEX(Drivers!$C$31:$AG$33,3,E$11)</f>
        <v>10.603684877445227</v>
      </c>
      <c r="F15" s="226">
        <f>INDEX(Drivers!$C$31:$AG$33,3,F$11)</f>
        <v>11.733279491435036</v>
      </c>
      <c r="G15" s="226">
        <f>INDEX(Drivers!$C$31:$AG$33,3,G$11)</f>
        <v>12.42895014015402</v>
      </c>
      <c r="H15" s="226">
        <f>INDEX(Drivers!$C$31:$AG$33,3,H$11)</f>
        <v>11.561826598971781</v>
      </c>
      <c r="I15" s="226">
        <f>INDEX(Drivers!$C$31:$AG$33,3,I$11)</f>
        <v>15.896895499285378</v>
      </c>
      <c r="J15" s="226">
        <f>INDEX(Drivers!$C$31:$AG$33,3,J$11)</f>
        <v>21.827921788510363</v>
      </c>
      <c r="K15" s="226">
        <f>INDEX(Drivers!$C$31:$AG$33,3,K$11)</f>
        <v>28.480189599163776</v>
      </c>
      <c r="M15" s="226">
        <f>E15</f>
        <v>10.603684877445227</v>
      </c>
      <c r="N15" s="226">
        <f t="shared" si="0"/>
        <v>11.561826598971781</v>
      </c>
      <c r="O15" s="226">
        <f t="shared" si="0"/>
        <v>15.896895499285378</v>
      </c>
      <c r="P15" s="226">
        <f t="shared" si="0"/>
        <v>21.827921788510363</v>
      </c>
      <c r="Q15" s="226">
        <f t="shared" si="0"/>
        <v>28.480189599163776</v>
      </c>
      <c r="S15" s="226">
        <f>E15</f>
        <v>10.603684877445227</v>
      </c>
      <c r="T15" s="226">
        <f t="shared" si="1"/>
        <v>11.561826598971781</v>
      </c>
      <c r="U15" s="226">
        <f t="shared" si="1"/>
        <v>15.896895499285378</v>
      </c>
      <c r="V15" s="226">
        <f t="shared" si="1"/>
        <v>21.827921788510363</v>
      </c>
      <c r="W15" s="226">
        <f t="shared" si="1"/>
        <v>28.480189599163776</v>
      </c>
    </row>
    <row r="16" spans="1:58">
      <c r="A16" s="225" t="s">
        <v>16</v>
      </c>
      <c r="E16" s="3">
        <f t="shared" ref="E16:K16" si="2">SUM(E13:E15)</f>
        <v>53.031999999999989</v>
      </c>
      <c r="F16" s="3">
        <f>SUM(F13:F15)</f>
        <v>54.49</v>
      </c>
      <c r="G16" s="3">
        <f>SUM(G13:G15)</f>
        <v>55.559000000000005</v>
      </c>
      <c r="H16" s="3">
        <f t="shared" si="2"/>
        <v>57.162999999999997</v>
      </c>
      <c r="I16" s="3">
        <f t="shared" si="2"/>
        <v>62.805999999999997</v>
      </c>
      <c r="J16" s="3">
        <f t="shared" si="2"/>
        <v>68.587999999999994</v>
      </c>
      <c r="K16" s="3">
        <f t="shared" si="2"/>
        <v>75.195999999999998</v>
      </c>
      <c r="M16" s="3">
        <f>SUM(M13:M15)</f>
        <v>53.031999999999989</v>
      </c>
      <c r="N16" s="3">
        <f>SUM(N13:N15)</f>
        <v>57.162999999999997</v>
      </c>
      <c r="O16" s="3">
        <f>SUM(O13:O15)</f>
        <v>62.805999999999997</v>
      </c>
      <c r="P16" s="3">
        <f>SUM(P13:P15)</f>
        <v>68.587999999999994</v>
      </c>
      <c r="Q16" s="3">
        <f>SUM(Q13:Q15)</f>
        <v>75.195999999999998</v>
      </c>
      <c r="S16" s="49">
        <f>SUM(S13:S15)</f>
        <v>53.031999999999989</v>
      </c>
      <c r="T16" s="49">
        <f>SUM(T13:T15)</f>
        <v>57.162999999999997</v>
      </c>
      <c r="U16" s="49">
        <f>SUM(U13:U15)</f>
        <v>62.805999999999997</v>
      </c>
      <c r="V16" s="49">
        <f>SUM(V13:V15)</f>
        <v>68.587999999999994</v>
      </c>
      <c r="W16" s="49">
        <f>SUM(W13:W15)</f>
        <v>75.195999999999998</v>
      </c>
    </row>
    <row r="17" spans="1:42">
      <c r="A17" s="225" t="s">
        <v>16</v>
      </c>
      <c r="B17" s="271"/>
    </row>
    <row r="18" spans="1:42" ht="15.75" thickBot="1">
      <c r="A18" s="225" t="s">
        <v>16</v>
      </c>
      <c r="B18" s="28"/>
      <c r="C18" s="270" t="s">
        <v>58</v>
      </c>
      <c r="D18" s="270"/>
      <c r="E18" s="7">
        <v>2012</v>
      </c>
      <c r="F18" s="7">
        <v>2015</v>
      </c>
      <c r="G18" s="7">
        <f>G12</f>
        <v>2017</v>
      </c>
      <c r="H18" s="7">
        <v>2020</v>
      </c>
      <c r="I18" s="7">
        <v>2030</v>
      </c>
      <c r="J18" s="7">
        <v>2040</v>
      </c>
      <c r="K18" s="7">
        <v>2050</v>
      </c>
    </row>
    <row r="19" spans="1:42">
      <c r="A19" s="225" t="s">
        <v>16</v>
      </c>
      <c r="B19" s="271"/>
      <c r="C19" s="225" t="s">
        <v>7</v>
      </c>
      <c r="D19" s="36" t="s">
        <v>533</v>
      </c>
      <c r="E19" s="10">
        <f>RES!E43</f>
        <v>1</v>
      </c>
      <c r="F19" s="10">
        <f>RES!E43</f>
        <v>1</v>
      </c>
      <c r="G19" s="258">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42">
      <c r="A20" s="225" t="s">
        <v>16</v>
      </c>
      <c r="B20" s="271"/>
      <c r="C20" s="271" t="s">
        <v>8</v>
      </c>
      <c r="D20" s="36" t="s">
        <v>533</v>
      </c>
      <c r="E20" s="10">
        <f>RES!E44</f>
        <v>1</v>
      </c>
      <c r="F20" s="10">
        <f>RES!E44</f>
        <v>1</v>
      </c>
      <c r="G20" s="258">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42">
      <c r="A21" s="225" t="s">
        <v>16</v>
      </c>
      <c r="C21" s="271" t="s">
        <v>409</v>
      </c>
      <c r="D21" s="36" t="s">
        <v>533</v>
      </c>
      <c r="E21" s="10">
        <f>RES!E45</f>
        <v>1</v>
      </c>
      <c r="F21" s="10">
        <f>RES!E45</f>
        <v>1</v>
      </c>
      <c r="G21" s="258">
        <f t="shared" si="3"/>
        <v>0.97610921501706494</v>
      </c>
      <c r="H21" s="10">
        <f>RES!F45</f>
        <v>0.95221843003412987</v>
      </c>
      <c r="I21" s="10">
        <f>RES!G45</f>
        <v>1.1023890784982937</v>
      </c>
      <c r="J21" s="10">
        <f>RES!H45</f>
        <v>1.3620156089042583</v>
      </c>
      <c r="K21" s="10">
        <f>RES!I45</f>
        <v>1.7304739927162893</v>
      </c>
      <c r="L21" s="44"/>
      <c r="M21" s="10"/>
      <c r="N21" s="47">
        <v>0.25</v>
      </c>
      <c r="O21" s="47">
        <f>N21</f>
        <v>0.25</v>
      </c>
      <c r="P21" s="47">
        <f>O21</f>
        <v>0.25</v>
      </c>
      <c r="Q21" s="47">
        <f>P21</f>
        <v>0.25</v>
      </c>
      <c r="R21" s="10"/>
      <c r="T21" s="130"/>
      <c r="U21" s="10"/>
      <c r="V21" s="10"/>
      <c r="W21" s="10"/>
      <c r="X21" s="10"/>
      <c r="Y21" s="10"/>
      <c r="Z21" s="10"/>
      <c r="AA21" s="10"/>
      <c r="AB21" s="10"/>
      <c r="AC21" s="10"/>
      <c r="AD21" s="10"/>
      <c r="AE21" s="10"/>
      <c r="AF21" s="10"/>
      <c r="AG21" s="10"/>
      <c r="AH21" s="10"/>
      <c r="AI21" s="10"/>
      <c r="AJ21" s="10"/>
      <c r="AK21" s="10"/>
      <c r="AL21" s="10"/>
      <c r="AM21" s="8"/>
      <c r="AN21" s="8"/>
      <c r="AO21" s="8"/>
      <c r="AP21" s="8"/>
    </row>
    <row r="22" spans="1:42">
      <c r="A22" s="225" t="s">
        <v>16</v>
      </c>
      <c r="C22" s="271"/>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42">
      <c r="A23" s="225" t="s">
        <v>16</v>
      </c>
      <c r="B23" s="271"/>
      <c r="C23" s="271"/>
      <c r="S23" s="225" t="s">
        <v>199</v>
      </c>
    </row>
    <row r="24" spans="1:42" ht="15.75" thickBot="1">
      <c r="A24" s="225" t="s">
        <v>16</v>
      </c>
      <c r="B24" s="270" t="s">
        <v>160</v>
      </c>
      <c r="D24" s="270"/>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42">
      <c r="A25" s="225" t="s">
        <v>16</v>
      </c>
      <c r="B25" s="271"/>
      <c r="C25" s="271" t="str">
        <f>C19</f>
        <v>Low Income</v>
      </c>
      <c r="D25" s="225" t="s">
        <v>48</v>
      </c>
      <c r="E25" s="273">
        <f>[3]Calib_1011!$H$86</f>
        <v>0.02</v>
      </c>
      <c r="F25" s="66">
        <f t="shared" ref="F25:G27" si="4">IF($D$4,S25,M25)</f>
        <v>0.02</v>
      </c>
      <c r="G25" s="66">
        <f t="shared" si="4"/>
        <v>0.02</v>
      </c>
      <c r="H25" s="66">
        <f t="shared" ref="H25:K27" si="5">IF($D$4,T25,N25)</f>
        <v>0.02</v>
      </c>
      <c r="I25" s="66">
        <f t="shared" si="5"/>
        <v>0.02</v>
      </c>
      <c r="J25" s="66">
        <f t="shared" si="5"/>
        <v>0.02</v>
      </c>
      <c r="K25" s="66">
        <f t="shared" si="5"/>
        <v>0.02</v>
      </c>
      <c r="L25" s="284"/>
      <c r="M25" s="66">
        <f>E25</f>
        <v>0.02</v>
      </c>
      <c r="N25" s="35">
        <f>M25</f>
        <v>0.02</v>
      </c>
      <c r="O25" s="35">
        <f t="shared" ref="O25:Q26" si="6">N25</f>
        <v>0.02</v>
      </c>
      <c r="P25" s="35">
        <f t="shared" si="6"/>
        <v>0.02</v>
      </c>
      <c r="Q25" s="35">
        <f t="shared" si="6"/>
        <v>0.02</v>
      </c>
      <c r="R25" s="285"/>
      <c r="S25" s="66">
        <f>M25</f>
        <v>0.02</v>
      </c>
      <c r="T25" s="77">
        <v>0.06</v>
      </c>
      <c r="U25" s="77">
        <v>0.05</v>
      </c>
      <c r="V25" s="77">
        <v>0.04</v>
      </c>
      <c r="W25" s="77">
        <v>0.04</v>
      </c>
      <c r="X25" s="285"/>
      <c r="Y25" s="285"/>
      <c r="Z25" s="285"/>
      <c r="AA25" s="285"/>
      <c r="AB25" s="285"/>
      <c r="AC25" s="285"/>
      <c r="AD25" s="285"/>
      <c r="AE25" s="285"/>
      <c r="AF25" s="285"/>
      <c r="AG25" s="285"/>
      <c r="AH25" s="285"/>
      <c r="AI25" s="285"/>
      <c r="AJ25" s="285"/>
      <c r="AK25" s="285"/>
      <c r="AL25" s="285"/>
      <c r="AM25" s="285"/>
      <c r="AN25" s="285"/>
      <c r="AO25" s="285"/>
      <c r="AP25" s="285"/>
    </row>
    <row r="26" spans="1:42">
      <c r="A26" s="225" t="s">
        <v>16</v>
      </c>
      <c r="B26" s="233">
        <f>INDEX($BE$4:$BE$7,MATCH($D$3,$BA$4:$BA$7,0))</f>
        <v>0.95</v>
      </c>
      <c r="C26" s="271" t="str">
        <f>C20</f>
        <v>Middle Income</v>
      </c>
      <c r="D26" s="225" t="s">
        <v>48</v>
      </c>
      <c r="E26" s="273">
        <f>[3]Calib_1011!$I$86</f>
        <v>0.53</v>
      </c>
      <c r="F26" s="66">
        <f t="shared" si="4"/>
        <v>0.53</v>
      </c>
      <c r="G26" s="66">
        <f t="shared" si="4"/>
        <v>0.53</v>
      </c>
      <c r="H26" s="66">
        <f t="shared" si="5"/>
        <v>0.53</v>
      </c>
      <c r="I26" s="66">
        <f t="shared" si="5"/>
        <v>0.53</v>
      </c>
      <c r="J26" s="66">
        <f t="shared" si="5"/>
        <v>0.53</v>
      </c>
      <c r="K26" s="66">
        <f t="shared" si="5"/>
        <v>0.53</v>
      </c>
      <c r="L26" s="284"/>
      <c r="M26" s="66">
        <f>E26</f>
        <v>0.53</v>
      </c>
      <c r="N26" s="35">
        <f>M26</f>
        <v>0.53</v>
      </c>
      <c r="O26" s="35">
        <f t="shared" si="6"/>
        <v>0.53</v>
      </c>
      <c r="P26" s="35">
        <f t="shared" si="6"/>
        <v>0.53</v>
      </c>
      <c r="Q26" s="35">
        <f t="shared" si="6"/>
        <v>0.53</v>
      </c>
      <c r="R26" s="285"/>
      <c r="S26" s="66">
        <f>M26</f>
        <v>0.53</v>
      </c>
      <c r="T26" s="77">
        <f>S26*$B$26</f>
        <v>0.50349999999999995</v>
      </c>
      <c r="U26" s="77">
        <f>IF(INDEX($BF$4:$BF$7,MATCH($D$3,$BA$4:$BA$7,0)),T26*$B$26,T26)</f>
        <v>0.47832499999999994</v>
      </c>
      <c r="V26" s="77">
        <f>IF(INDEX($BF$4:$BF$7,MATCH($D$3,$BA$4:$BA$7,0)),U26*$B$26,U26)</f>
        <v>0.45440874999999992</v>
      </c>
      <c r="W26" s="77">
        <f>IF(INDEX($BF$4:$BF$7,MATCH($D$3,$BA$4:$BA$7,0)),V26*$B$26,V26)</f>
        <v>0.43168831249999989</v>
      </c>
      <c r="X26" s="285"/>
      <c r="Y26" s="285"/>
      <c r="Z26" s="285"/>
      <c r="AA26" s="285"/>
      <c r="AB26" s="285"/>
      <c r="AC26" s="285"/>
      <c r="AD26" s="285"/>
      <c r="AE26" s="285"/>
      <c r="AF26" s="285"/>
      <c r="AG26" s="285"/>
      <c r="AH26" s="285"/>
      <c r="AI26" s="285"/>
      <c r="AJ26" s="285"/>
      <c r="AK26" s="285"/>
      <c r="AL26" s="285"/>
      <c r="AM26" s="285"/>
      <c r="AN26" s="285"/>
      <c r="AO26" s="285"/>
      <c r="AP26" s="285"/>
    </row>
    <row r="27" spans="1:42">
      <c r="A27" s="225" t="s">
        <v>16</v>
      </c>
      <c r="B27" s="233">
        <f>INDEX($BD$4:$BD$7,MATCH($D$3,$BA$4:$BA$7,0))</f>
        <v>0.97499999999999998</v>
      </c>
      <c r="C27" s="271" t="str">
        <f>C21</f>
        <v>High Income</v>
      </c>
      <c r="D27" s="225" t="s">
        <v>48</v>
      </c>
      <c r="E27" s="273">
        <f>[3]Calib_1011!$J$86</f>
        <v>0.78378378378378377</v>
      </c>
      <c r="F27" s="66">
        <f t="shared" si="4"/>
        <v>0.78378378378378377</v>
      </c>
      <c r="G27" s="66">
        <f t="shared" si="4"/>
        <v>0.78378378378378377</v>
      </c>
      <c r="H27" s="66">
        <f t="shared" si="5"/>
        <v>0.78378378378378377</v>
      </c>
      <c r="I27" s="66">
        <f t="shared" si="5"/>
        <v>0.78378378378378377</v>
      </c>
      <c r="J27" s="66">
        <f t="shared" si="5"/>
        <v>0.78378378378378377</v>
      </c>
      <c r="K27" s="66">
        <f t="shared" si="5"/>
        <v>0.78378378378378377</v>
      </c>
      <c r="L27" s="284"/>
      <c r="M27" s="66">
        <f>E27</f>
        <v>0.78378378378378377</v>
      </c>
      <c r="N27" s="35">
        <f>M27</f>
        <v>0.78378378378378377</v>
      </c>
      <c r="O27" s="35">
        <f>N27</f>
        <v>0.78378378378378377</v>
      </c>
      <c r="P27" s="35">
        <f>O27</f>
        <v>0.78378378378378377</v>
      </c>
      <c r="Q27" s="35">
        <f>P27</f>
        <v>0.78378378378378377</v>
      </c>
      <c r="R27" s="285"/>
      <c r="S27" s="66">
        <f>M27</f>
        <v>0.78378378378378377</v>
      </c>
      <c r="T27" s="77">
        <f>S27*$B$27</f>
        <v>0.76418918918918921</v>
      </c>
      <c r="U27" s="77">
        <f>IF(INDEX($BF$4:$BF$7,MATCH($D$3,$BA$4:$BA$7,0)),T27*$B$27,T27)</f>
        <v>0.74508445945945945</v>
      </c>
      <c r="V27" s="77">
        <f>IF(INDEX($BF$4:$BF$7,MATCH($D$3,$BA$4:$BA$7,0)),U27*$B$27,U27)</f>
        <v>0.7264573479729729</v>
      </c>
      <c r="W27" s="77">
        <f>IF(INDEX($BF$4:$BF$7,MATCH($D$3,$BA$4:$BA$7,0)),V27*$B$27,V27)</f>
        <v>0.70829591427364857</v>
      </c>
      <c r="X27" s="285"/>
      <c r="Y27" s="285"/>
      <c r="Z27" s="285"/>
      <c r="AA27" s="285"/>
      <c r="AB27" s="285"/>
      <c r="AC27" s="285"/>
      <c r="AD27" s="285"/>
      <c r="AE27" s="285"/>
      <c r="AF27" s="285"/>
      <c r="AG27" s="285"/>
      <c r="AH27" s="285"/>
      <c r="AI27" s="285"/>
      <c r="AJ27" s="285"/>
      <c r="AK27" s="285"/>
      <c r="AL27" s="285"/>
      <c r="AM27" s="285"/>
      <c r="AN27" s="285"/>
      <c r="AO27" s="285"/>
      <c r="AP27" s="285"/>
    </row>
    <row r="28" spans="1:42">
      <c r="A28" s="225" t="s">
        <v>16</v>
      </c>
      <c r="B28" s="271"/>
      <c r="C28" s="271"/>
      <c r="S28" s="225" t="s">
        <v>200</v>
      </c>
      <c r="T28" s="230"/>
      <c r="U28" s="230"/>
      <c r="V28" s="34"/>
    </row>
    <row r="29" spans="1:42" ht="15.75" thickBot="1">
      <c r="A29" s="225" t="s">
        <v>16</v>
      </c>
      <c r="B29" s="270" t="s">
        <v>188</v>
      </c>
      <c r="D29" s="270"/>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42">
      <c r="A30" s="225" t="s">
        <v>16</v>
      </c>
      <c r="C30" s="271" t="str">
        <f>C25</f>
        <v>Low Income</v>
      </c>
      <c r="D30" s="225" t="s">
        <v>48</v>
      </c>
      <c r="E30" s="51">
        <f>[3]Calib_1011!$H$93</f>
        <v>0.25</v>
      </c>
      <c r="F30" s="65">
        <f t="shared" ref="F30:G32" si="7">IF($D$4,S30,M30)</f>
        <v>0.25</v>
      </c>
      <c r="G30" s="65">
        <f t="shared" si="7"/>
        <v>0.25</v>
      </c>
      <c r="H30" s="65">
        <f t="shared" ref="H30:K32" si="8">IF($D$4,T30,N30)</f>
        <v>0.25</v>
      </c>
      <c r="I30" s="65">
        <f t="shared" si="8"/>
        <v>0.25</v>
      </c>
      <c r="J30" s="65">
        <f t="shared" si="8"/>
        <v>0.25</v>
      </c>
      <c r="K30" s="65">
        <f t="shared" si="8"/>
        <v>0.25</v>
      </c>
      <c r="L30" s="43"/>
      <c r="M30" s="65">
        <f>E30</f>
        <v>0.25</v>
      </c>
      <c r="N30" s="47">
        <f>M30</f>
        <v>0.25</v>
      </c>
      <c r="O30" s="47">
        <f t="shared" ref="O30:Q31" si="9">N30</f>
        <v>0.25</v>
      </c>
      <c r="P30" s="47">
        <f t="shared" si="9"/>
        <v>0.25</v>
      </c>
      <c r="Q30" s="47">
        <f t="shared" si="9"/>
        <v>0.25</v>
      </c>
      <c r="R30" s="272"/>
      <c r="S30" s="65">
        <f>M30</f>
        <v>0.25</v>
      </c>
      <c r="T30" s="78">
        <f t="shared" ref="T30:W31" si="10">S30*0.95</f>
        <v>0.23749999999999999</v>
      </c>
      <c r="U30" s="78">
        <f t="shared" si="10"/>
        <v>0.22562499999999999</v>
      </c>
      <c r="V30" s="78">
        <f t="shared" si="10"/>
        <v>0.21434374999999997</v>
      </c>
      <c r="W30" s="78">
        <f t="shared" si="10"/>
        <v>0.20362656249999997</v>
      </c>
      <c r="X30" s="272"/>
      <c r="Y30" s="272"/>
      <c r="Z30" s="272"/>
      <c r="AA30" s="272"/>
      <c r="AB30" s="272"/>
      <c r="AC30" s="272"/>
      <c r="AD30" s="272"/>
      <c r="AE30" s="272"/>
      <c r="AF30" s="272"/>
      <c r="AG30" s="272"/>
      <c r="AH30" s="272"/>
      <c r="AI30" s="272"/>
      <c r="AJ30" s="272"/>
      <c r="AK30" s="272"/>
      <c r="AL30" s="272"/>
      <c r="AM30" s="272"/>
      <c r="AN30" s="272"/>
      <c r="AO30" s="272"/>
      <c r="AP30" s="272"/>
    </row>
    <row r="31" spans="1:42">
      <c r="A31" s="225" t="s">
        <v>16</v>
      </c>
      <c r="C31" s="271" t="str">
        <f>C26</f>
        <v>Middle Income</v>
      </c>
      <c r="D31" s="225" t="s">
        <v>48</v>
      </c>
      <c r="E31" s="51">
        <f>[3]Calib_1011!$I$93</f>
        <v>0.31311637080867849</v>
      </c>
      <c r="F31" s="65">
        <f t="shared" si="7"/>
        <v>0.31311637080867849</v>
      </c>
      <c r="G31" s="65">
        <f t="shared" si="7"/>
        <v>0.31311637080867849</v>
      </c>
      <c r="H31" s="65">
        <f t="shared" si="8"/>
        <v>0.31311637080867849</v>
      </c>
      <c r="I31" s="65">
        <f t="shared" si="8"/>
        <v>0.31311637080867849</v>
      </c>
      <c r="J31" s="65">
        <f t="shared" si="8"/>
        <v>0.31311637080867849</v>
      </c>
      <c r="K31" s="65">
        <f t="shared" si="8"/>
        <v>0.31311637080867849</v>
      </c>
      <c r="L31" s="43"/>
      <c r="M31" s="65">
        <f>E31</f>
        <v>0.31311637080867849</v>
      </c>
      <c r="N31" s="47">
        <f>M31</f>
        <v>0.31311637080867849</v>
      </c>
      <c r="O31" s="47">
        <f t="shared" si="9"/>
        <v>0.31311637080867849</v>
      </c>
      <c r="P31" s="47">
        <f t="shared" si="9"/>
        <v>0.31311637080867849</v>
      </c>
      <c r="Q31" s="47">
        <f t="shared" si="9"/>
        <v>0.31311637080867849</v>
      </c>
      <c r="R31" s="272"/>
      <c r="S31" s="65">
        <f>M31</f>
        <v>0.31311637080867849</v>
      </c>
      <c r="T31" s="78">
        <f t="shared" si="10"/>
        <v>0.29746055226824453</v>
      </c>
      <c r="U31" s="78">
        <f t="shared" si="10"/>
        <v>0.28258752465483228</v>
      </c>
      <c r="V31" s="78">
        <f t="shared" si="10"/>
        <v>0.26845814842209065</v>
      </c>
      <c r="W31" s="78">
        <f t="shared" si="10"/>
        <v>0.25503524100098612</v>
      </c>
      <c r="X31" s="272"/>
      <c r="Y31" s="272"/>
      <c r="Z31" s="272"/>
      <c r="AA31" s="272"/>
      <c r="AB31" s="272"/>
      <c r="AC31" s="272"/>
      <c r="AD31" s="272"/>
      <c r="AE31" s="272"/>
      <c r="AF31" s="272"/>
      <c r="AG31" s="272"/>
      <c r="AH31" s="272"/>
      <c r="AI31" s="272"/>
      <c r="AJ31" s="272"/>
      <c r="AK31" s="272"/>
      <c r="AL31" s="272"/>
      <c r="AM31" s="272"/>
      <c r="AN31" s="272"/>
      <c r="AO31" s="272"/>
      <c r="AP31" s="272"/>
    </row>
    <row r="32" spans="1:42">
      <c r="A32" s="225" t="s">
        <v>16</v>
      </c>
      <c r="C32" s="271" t="str">
        <f>C27</f>
        <v>High Income</v>
      </c>
      <c r="D32" s="225" t="s">
        <v>48</v>
      </c>
      <c r="E32" s="51">
        <f>[3]Calib_1011!$J$93</f>
        <v>0.41283463855351005</v>
      </c>
      <c r="F32" s="65">
        <f t="shared" si="7"/>
        <v>0.41283463855351005</v>
      </c>
      <c r="G32" s="65">
        <f t="shared" si="7"/>
        <v>0.40790316676191524</v>
      </c>
      <c r="H32" s="65">
        <f t="shared" si="8"/>
        <v>0.40790316676191524</v>
      </c>
      <c r="I32" s="65">
        <f t="shared" si="8"/>
        <v>0.42398537046937429</v>
      </c>
      <c r="J32" s="65">
        <f t="shared" si="8"/>
        <v>0.44894884589399531</v>
      </c>
      <c r="K32" s="65">
        <f t="shared" si="8"/>
        <v>0.47931174428718215</v>
      </c>
      <c r="L32" s="43"/>
      <c r="M32" s="65">
        <f>E32</f>
        <v>0.41283463855351005</v>
      </c>
      <c r="N32" s="47">
        <f>M32*(1+N21*(H21/F21-1))</f>
        <v>0.40790316676191524</v>
      </c>
      <c r="O32" s="47">
        <f>N32*(1+O21*(I21/H21-1))</f>
        <v>0.42398537046937429</v>
      </c>
      <c r="P32" s="47">
        <f>O32*(1+P21*(J21/I21-1))</f>
        <v>0.44894884589399531</v>
      </c>
      <c r="Q32" s="47">
        <f>P32*(1+Q21*(K21/J21-1))</f>
        <v>0.47931174428718215</v>
      </c>
      <c r="R32" s="272"/>
      <c r="S32" s="65">
        <f>M32</f>
        <v>0.41283463855351005</v>
      </c>
      <c r="T32" s="77">
        <f>S32*$B$27</f>
        <v>0.4025137725896723</v>
      </c>
      <c r="U32" s="77">
        <f>IF(INDEX($BF$4:$BF$7,MATCH($D$3,$BA$4:$BA$7,0)),T32*$B$27,T32)</f>
        <v>0.3924509282749305</v>
      </c>
      <c r="V32" s="77">
        <f>IF(INDEX($BF$4:$BF$7,MATCH($D$3,$BA$4:$BA$7,0)),U32*$B$27,U32)</f>
        <v>0.38263965506805725</v>
      </c>
      <c r="W32" s="77">
        <f>IF(INDEX($BF$4:$BF$7,MATCH($D$3,$BA$4:$BA$7,0)),V32*$B$27,V32)</f>
        <v>0.37307366369135581</v>
      </c>
      <c r="X32" s="272"/>
      <c r="Y32" s="272"/>
      <c r="Z32" s="272"/>
      <c r="AA32" s="272"/>
      <c r="AB32" s="272"/>
      <c r="AC32" s="272"/>
      <c r="AD32" s="272"/>
      <c r="AE32" s="272"/>
      <c r="AF32" s="272"/>
      <c r="AG32" s="272"/>
      <c r="AH32" s="272"/>
      <c r="AI32" s="272"/>
      <c r="AJ32" s="272"/>
      <c r="AK32" s="272"/>
      <c r="AL32" s="272"/>
      <c r="AM32" s="272"/>
      <c r="AN32" s="272"/>
      <c r="AO32" s="272"/>
      <c r="AP32" s="272"/>
    </row>
    <row r="33" spans="1:42">
      <c r="A33" s="225" t="s">
        <v>16</v>
      </c>
      <c r="C33" s="271"/>
      <c r="L33" s="43"/>
      <c r="M33" s="226"/>
      <c r="R33" s="272"/>
      <c r="S33" s="225" t="s">
        <v>201</v>
      </c>
      <c r="X33" s="272"/>
      <c r="Y33" s="272"/>
      <c r="Z33" s="272"/>
      <c r="AA33" s="272"/>
      <c r="AB33" s="272"/>
      <c r="AC33" s="272"/>
      <c r="AD33" s="272"/>
      <c r="AE33" s="272"/>
      <c r="AF33" s="272"/>
      <c r="AG33" s="272"/>
      <c r="AH33" s="272"/>
      <c r="AI33" s="272"/>
      <c r="AJ33" s="272"/>
      <c r="AK33" s="272"/>
      <c r="AL33" s="272"/>
      <c r="AM33" s="272"/>
      <c r="AN33" s="272"/>
      <c r="AO33" s="272"/>
      <c r="AP33" s="272"/>
    </row>
    <row r="34" spans="1:42" ht="15.75" thickBot="1">
      <c r="A34" s="225" t="s">
        <v>16</v>
      </c>
      <c r="B34" s="270" t="s">
        <v>189</v>
      </c>
      <c r="D34" s="270"/>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225" t="s">
        <v>16</v>
      </c>
      <c r="C35" s="271" t="str">
        <f>C30</f>
        <v>Low Income</v>
      </c>
      <c r="D35" s="225" t="s">
        <v>96</v>
      </c>
      <c r="E35" s="51">
        <f>[3]Calib_1011!$H$113</f>
        <v>1.4</v>
      </c>
      <c r="F35" s="65">
        <f t="shared" ref="F35:G38" si="11">IF($D$4,S35,M35)</f>
        <v>1.4</v>
      </c>
      <c r="G35" s="65">
        <f t="shared" si="11"/>
        <v>1.4</v>
      </c>
      <c r="H35" s="65">
        <f t="shared" ref="H35:K38" si="12">IF($D$4,T35,N35)</f>
        <v>1.4</v>
      </c>
      <c r="I35" s="65">
        <f t="shared" si="12"/>
        <v>1.4</v>
      </c>
      <c r="J35" s="65">
        <f t="shared" si="12"/>
        <v>1.4</v>
      </c>
      <c r="K35" s="65">
        <f t="shared" si="12"/>
        <v>1.4</v>
      </c>
      <c r="L35" s="43"/>
      <c r="M35" s="65">
        <f>E35</f>
        <v>1.4</v>
      </c>
      <c r="N35" s="47">
        <f>M35</f>
        <v>1.4</v>
      </c>
      <c r="O35" s="47">
        <f t="shared" ref="O35:Q38" si="13">N35</f>
        <v>1.4</v>
      </c>
      <c r="P35" s="47">
        <f t="shared" si="13"/>
        <v>1.4</v>
      </c>
      <c r="Q35" s="47">
        <f t="shared" si="13"/>
        <v>1.4</v>
      </c>
      <c r="R35" s="272"/>
      <c r="S35" s="65">
        <f>M35</f>
        <v>1.4</v>
      </c>
      <c r="T35" s="78">
        <f>S35*1.025</f>
        <v>1.4349999999999998</v>
      </c>
      <c r="U35" s="78">
        <f>T35*1.025</f>
        <v>1.4708749999999997</v>
      </c>
      <c r="V35" s="78">
        <f>U35*1.025</f>
        <v>1.5076468749999996</v>
      </c>
      <c r="W35" s="78">
        <f>V35*1.025</f>
        <v>1.5453380468749995</v>
      </c>
      <c r="X35" s="272"/>
      <c r="Y35" s="272"/>
      <c r="Z35" s="272"/>
      <c r="AA35" s="272"/>
      <c r="AB35" s="272"/>
      <c r="AC35" s="272"/>
      <c r="AD35" s="272"/>
      <c r="AE35" s="272"/>
      <c r="AF35" s="272"/>
      <c r="AG35" s="272"/>
      <c r="AH35" s="272"/>
      <c r="AI35" s="272"/>
      <c r="AJ35" s="272"/>
      <c r="AK35" s="272"/>
      <c r="AL35" s="272"/>
      <c r="AM35" s="272"/>
      <c r="AN35" s="272"/>
      <c r="AO35" s="272"/>
      <c r="AP35" s="272"/>
    </row>
    <row r="36" spans="1:42">
      <c r="A36" s="225" t="s">
        <v>16</v>
      </c>
      <c r="C36" s="271" t="str">
        <f>C31</f>
        <v>Middle Income</v>
      </c>
      <c r="D36" s="225" t="s">
        <v>96</v>
      </c>
      <c r="E36" s="51">
        <f>[3]Calib_1011!$I$113</f>
        <v>1.4</v>
      </c>
      <c r="F36" s="65">
        <f t="shared" si="11"/>
        <v>1.4</v>
      </c>
      <c r="G36" s="65">
        <f t="shared" si="11"/>
        <v>1.4</v>
      </c>
      <c r="H36" s="65">
        <f t="shared" si="12"/>
        <v>1.4</v>
      </c>
      <c r="I36" s="65">
        <f t="shared" si="12"/>
        <v>1.4</v>
      </c>
      <c r="J36" s="65">
        <f t="shared" si="12"/>
        <v>1.4</v>
      </c>
      <c r="K36" s="65">
        <f t="shared" si="12"/>
        <v>1.4</v>
      </c>
      <c r="L36" s="43"/>
      <c r="M36" s="65">
        <f>E36</f>
        <v>1.4</v>
      </c>
      <c r="N36" s="47">
        <f>M36</f>
        <v>1.4</v>
      </c>
      <c r="O36" s="47">
        <f t="shared" si="13"/>
        <v>1.4</v>
      </c>
      <c r="P36" s="47">
        <f t="shared" si="13"/>
        <v>1.4</v>
      </c>
      <c r="Q36" s="47">
        <f t="shared" si="13"/>
        <v>1.4</v>
      </c>
      <c r="R36" s="272"/>
      <c r="S36" s="65">
        <f>M36</f>
        <v>1.4</v>
      </c>
      <c r="T36" s="78">
        <f t="shared" ref="T36:W38" si="14">S36*1.025</f>
        <v>1.4349999999999998</v>
      </c>
      <c r="U36" s="78">
        <f t="shared" si="14"/>
        <v>1.4708749999999997</v>
      </c>
      <c r="V36" s="78">
        <f t="shared" si="14"/>
        <v>1.5076468749999996</v>
      </c>
      <c r="W36" s="78">
        <f t="shared" si="14"/>
        <v>1.5453380468749995</v>
      </c>
      <c r="X36" s="272"/>
      <c r="Y36" s="272"/>
      <c r="Z36" s="272"/>
      <c r="AA36" s="272"/>
      <c r="AB36" s="272"/>
      <c r="AC36" s="272"/>
      <c r="AD36" s="272"/>
      <c r="AE36" s="272"/>
      <c r="AF36" s="272"/>
      <c r="AG36" s="272"/>
      <c r="AH36" s="272"/>
      <c r="AI36" s="272"/>
      <c r="AJ36" s="272"/>
      <c r="AK36" s="272"/>
      <c r="AL36" s="272"/>
      <c r="AM36" s="272"/>
      <c r="AN36" s="272"/>
      <c r="AO36" s="272"/>
      <c r="AP36" s="272"/>
    </row>
    <row r="37" spans="1:42">
      <c r="A37" s="225" t="s">
        <v>16</v>
      </c>
      <c r="C37" s="271" t="str">
        <f>C32</f>
        <v>High Income</v>
      </c>
      <c r="D37" s="225" t="s">
        <v>96</v>
      </c>
      <c r="E37" s="51">
        <f>[3]Calib_1011!$J$113</f>
        <v>1.4</v>
      </c>
      <c r="F37" s="65">
        <f t="shared" si="11"/>
        <v>1.4</v>
      </c>
      <c r="G37" s="65">
        <f t="shared" si="11"/>
        <v>1.4</v>
      </c>
      <c r="H37" s="65">
        <f t="shared" si="12"/>
        <v>1.4</v>
      </c>
      <c r="I37" s="65">
        <f t="shared" si="12"/>
        <v>1.4</v>
      </c>
      <c r="J37" s="65">
        <f t="shared" si="12"/>
        <v>1.4</v>
      </c>
      <c r="K37" s="65">
        <f t="shared" si="12"/>
        <v>1.4</v>
      </c>
      <c r="L37" s="43"/>
      <c r="M37" s="65">
        <f>E37</f>
        <v>1.4</v>
      </c>
      <c r="N37" s="47">
        <f>M37</f>
        <v>1.4</v>
      </c>
      <c r="O37" s="47">
        <f t="shared" si="13"/>
        <v>1.4</v>
      </c>
      <c r="P37" s="47">
        <f t="shared" si="13"/>
        <v>1.4</v>
      </c>
      <c r="Q37" s="47">
        <f t="shared" si="13"/>
        <v>1.4</v>
      </c>
      <c r="R37" s="272"/>
      <c r="S37" s="65">
        <f>M37</f>
        <v>1.4</v>
      </c>
      <c r="T37" s="78">
        <f>S37*1.025</f>
        <v>1.4349999999999998</v>
      </c>
      <c r="U37" s="78">
        <f>T37*1.025</f>
        <v>1.4708749999999997</v>
      </c>
      <c r="V37" s="78">
        <f>U37*1.025</f>
        <v>1.5076468749999996</v>
      </c>
      <c r="W37" s="78">
        <f>V37*1.025</f>
        <v>1.5453380468749995</v>
      </c>
      <c r="X37" s="272"/>
      <c r="Y37" s="272"/>
      <c r="Z37" s="272"/>
      <c r="AA37" s="272"/>
      <c r="AB37" s="272"/>
      <c r="AC37" s="272"/>
      <c r="AD37" s="272"/>
      <c r="AE37" s="272"/>
      <c r="AF37" s="272"/>
      <c r="AG37" s="272"/>
      <c r="AH37" s="272"/>
      <c r="AI37" s="272"/>
      <c r="AJ37" s="272"/>
      <c r="AK37" s="272"/>
      <c r="AL37" s="272"/>
      <c r="AM37" s="272"/>
      <c r="AN37" s="272"/>
      <c r="AO37" s="272"/>
      <c r="AP37" s="272"/>
    </row>
    <row r="38" spans="1:42">
      <c r="A38" s="225" t="s">
        <v>16</v>
      </c>
      <c r="C38" s="271" t="s">
        <v>195</v>
      </c>
      <c r="D38" s="225" t="s">
        <v>96</v>
      </c>
      <c r="E38" s="51">
        <f>[3]Calib_1011!K113</f>
        <v>1.4</v>
      </c>
      <c r="F38" s="65">
        <f t="shared" si="11"/>
        <v>1.4</v>
      </c>
      <c r="G38" s="65">
        <f t="shared" si="11"/>
        <v>1.4</v>
      </c>
      <c r="H38" s="65">
        <f t="shared" si="12"/>
        <v>1.4</v>
      </c>
      <c r="I38" s="65">
        <f t="shared" si="12"/>
        <v>1.4</v>
      </c>
      <c r="J38" s="65">
        <f t="shared" si="12"/>
        <v>1.4</v>
      </c>
      <c r="K38" s="65">
        <f t="shared" si="12"/>
        <v>1.4</v>
      </c>
      <c r="M38" s="65">
        <f>E38</f>
        <v>1.4</v>
      </c>
      <c r="N38" s="47">
        <f>M38</f>
        <v>1.4</v>
      </c>
      <c r="O38" s="47">
        <f t="shared" si="13"/>
        <v>1.4</v>
      </c>
      <c r="P38" s="47">
        <f t="shared" si="13"/>
        <v>1.4</v>
      </c>
      <c r="Q38" s="47">
        <f t="shared" si="13"/>
        <v>1.4</v>
      </c>
      <c r="S38" s="65">
        <f>M38</f>
        <v>1.4</v>
      </c>
      <c r="T38" s="78">
        <f t="shared" si="14"/>
        <v>1.4349999999999998</v>
      </c>
      <c r="U38" s="78">
        <f t="shared" si="14"/>
        <v>1.4708749999999997</v>
      </c>
      <c r="V38" s="78">
        <f t="shared" si="14"/>
        <v>1.5076468749999996</v>
      </c>
      <c r="W38" s="78">
        <f t="shared" si="14"/>
        <v>1.5453380468749995</v>
      </c>
    </row>
    <row r="39" spans="1:42">
      <c r="A39" s="225" t="s">
        <v>16</v>
      </c>
      <c r="C39" s="271"/>
      <c r="L39" s="43"/>
      <c r="M39" s="226"/>
      <c r="R39" s="272"/>
      <c r="S39" s="225" t="s">
        <v>202</v>
      </c>
      <c r="X39" s="272"/>
      <c r="Y39" s="272"/>
      <c r="Z39" s="272"/>
      <c r="AA39" s="272"/>
      <c r="AB39" s="272"/>
      <c r="AC39" s="272"/>
      <c r="AD39" s="272"/>
      <c r="AE39" s="272"/>
      <c r="AF39" s="272"/>
      <c r="AG39" s="272"/>
      <c r="AH39" s="272"/>
      <c r="AI39" s="272"/>
      <c r="AJ39" s="272"/>
      <c r="AK39" s="272"/>
      <c r="AL39" s="272"/>
      <c r="AM39" s="272"/>
      <c r="AN39" s="272"/>
      <c r="AO39" s="272"/>
      <c r="AP39" s="272"/>
    </row>
    <row r="40" spans="1:42" ht="15.75" thickBot="1">
      <c r="A40" s="225" t="s">
        <v>16</v>
      </c>
      <c r="B40" s="270" t="s">
        <v>190</v>
      </c>
      <c r="D40" s="270"/>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225" t="s">
        <v>16</v>
      </c>
      <c r="C41" s="271" t="str">
        <f>C35</f>
        <v>Low Income</v>
      </c>
      <c r="D41" s="36" t="s">
        <v>171</v>
      </c>
      <c r="E41" s="51">
        <f>[3]Calib_1011!$H$118</f>
        <v>8.0274119837508469</v>
      </c>
      <c r="F41" s="65">
        <f t="shared" ref="F41:G44" si="15">IF($D$4,S41,M41)</f>
        <v>8.0274119837508469</v>
      </c>
      <c r="G41" s="65">
        <f t="shared" si="15"/>
        <v>8.0274119837508469</v>
      </c>
      <c r="H41" s="65">
        <f t="shared" ref="H41:K44" si="16">IF($D$4,T41,N41)</f>
        <v>8.0274119837508469</v>
      </c>
      <c r="I41" s="65">
        <f t="shared" si="16"/>
        <v>8.0274119837508469</v>
      </c>
      <c r="J41" s="65">
        <f t="shared" si="16"/>
        <v>8.0274119837508469</v>
      </c>
      <c r="K41" s="65">
        <f t="shared" si="16"/>
        <v>8.0274119837508469</v>
      </c>
      <c r="L41" s="43"/>
      <c r="M41" s="65">
        <f>E41</f>
        <v>8.0274119837508469</v>
      </c>
      <c r="N41" s="47">
        <f>M41</f>
        <v>8.0274119837508469</v>
      </c>
      <c r="O41" s="47">
        <f t="shared" ref="O41:Q44" si="17">N41</f>
        <v>8.0274119837508469</v>
      </c>
      <c r="P41" s="47">
        <f t="shared" si="17"/>
        <v>8.0274119837508469</v>
      </c>
      <c r="Q41" s="47">
        <f t="shared" si="17"/>
        <v>8.0274119837508469</v>
      </c>
      <c r="R41" s="272"/>
      <c r="S41" s="65">
        <f>M41</f>
        <v>8.0274119837508469</v>
      </c>
      <c r="T41" s="78">
        <f>S41*0.95</f>
        <v>7.6260413845633037</v>
      </c>
      <c r="U41" s="78">
        <f>T41*0.95</f>
        <v>7.2447393153351385</v>
      </c>
      <c r="V41" s="78">
        <f>U41*0.95</f>
        <v>6.882502349568381</v>
      </c>
      <c r="W41" s="78">
        <f>V41*0.95</f>
        <v>6.538377232089962</v>
      </c>
      <c r="X41" s="272"/>
      <c r="Y41" s="272"/>
      <c r="Z41" s="272"/>
      <c r="AA41" s="272"/>
      <c r="AB41" s="272"/>
      <c r="AC41" s="272"/>
      <c r="AD41" s="272"/>
      <c r="AE41" s="272"/>
      <c r="AF41" s="272"/>
      <c r="AG41" s="272"/>
      <c r="AH41" s="272"/>
      <c r="AI41" s="272"/>
      <c r="AJ41" s="272"/>
      <c r="AK41" s="272"/>
      <c r="AL41" s="272"/>
      <c r="AM41" s="272"/>
      <c r="AN41" s="272"/>
      <c r="AO41" s="272"/>
      <c r="AP41" s="272"/>
    </row>
    <row r="42" spans="1:42">
      <c r="A42" s="225" t="s">
        <v>16</v>
      </c>
      <c r="B42" s="234">
        <v>1</v>
      </c>
      <c r="C42" s="271" t="str">
        <f>C36</f>
        <v>Middle Income</v>
      </c>
      <c r="D42" s="36" t="s">
        <v>171</v>
      </c>
      <c r="E42" s="51">
        <f>[3]Calib_1011!$I$118</f>
        <v>13.418073439870216</v>
      </c>
      <c r="F42" s="65">
        <f t="shared" si="15"/>
        <v>13.418073439870216</v>
      </c>
      <c r="G42" s="65">
        <f t="shared" si="15"/>
        <v>13.418073439870216</v>
      </c>
      <c r="H42" s="65">
        <f t="shared" si="16"/>
        <v>13.418073439870216</v>
      </c>
      <c r="I42" s="65">
        <f t="shared" si="16"/>
        <v>13.418073439870216</v>
      </c>
      <c r="J42" s="65">
        <f t="shared" si="16"/>
        <v>13.418073439870216</v>
      </c>
      <c r="K42" s="65">
        <f t="shared" si="16"/>
        <v>13.418073439870216</v>
      </c>
      <c r="L42" s="43"/>
      <c r="M42" s="65">
        <f>E42/B42</f>
        <v>13.418073439870216</v>
      </c>
      <c r="N42" s="220">
        <f>M42</f>
        <v>13.418073439870216</v>
      </c>
      <c r="O42" s="220">
        <f>N42</f>
        <v>13.418073439870216</v>
      </c>
      <c r="P42" s="220">
        <f>O42</f>
        <v>13.418073439870216</v>
      </c>
      <c r="Q42" s="220">
        <f>P42</f>
        <v>13.418073439870216</v>
      </c>
      <c r="R42" s="272"/>
      <c r="S42" s="65">
        <f>M42</f>
        <v>13.418073439870216</v>
      </c>
      <c r="T42" s="78">
        <f t="shared" ref="T42:W44" si="18">S42*0.95</f>
        <v>12.747169767876706</v>
      </c>
      <c r="U42" s="78">
        <f t="shared" si="18"/>
        <v>12.109811279482869</v>
      </c>
      <c r="V42" s="78">
        <f t="shared" si="18"/>
        <v>11.504320715508726</v>
      </c>
      <c r="W42" s="78">
        <f t="shared" si="18"/>
        <v>10.929104679733289</v>
      </c>
      <c r="X42" s="272"/>
      <c r="Y42" s="272"/>
      <c r="Z42" s="272"/>
      <c r="AA42" s="272"/>
      <c r="AB42" s="272"/>
      <c r="AC42" s="272"/>
      <c r="AD42" s="272"/>
      <c r="AE42" s="272"/>
      <c r="AF42" s="272"/>
      <c r="AG42" s="272"/>
      <c r="AH42" s="272"/>
      <c r="AI42" s="272"/>
      <c r="AJ42" s="272"/>
      <c r="AK42" s="272"/>
      <c r="AL42" s="272"/>
      <c r="AM42" s="272"/>
      <c r="AN42" s="272"/>
      <c r="AO42" s="272"/>
      <c r="AP42" s="272"/>
    </row>
    <row r="43" spans="1:42">
      <c r="A43" s="225" t="s">
        <v>16</v>
      </c>
      <c r="C43" s="271" t="str">
        <f>C37</f>
        <v>High Income</v>
      </c>
      <c r="D43" s="36" t="s">
        <v>171</v>
      </c>
      <c r="E43" s="51">
        <f>[3]Calib_1011!$J$118</f>
        <v>15.663966300310799</v>
      </c>
      <c r="F43" s="65">
        <f t="shared" si="15"/>
        <v>15.663966300310799</v>
      </c>
      <c r="G43" s="65">
        <f t="shared" si="15"/>
        <v>15.663966300310799</v>
      </c>
      <c r="H43" s="65">
        <f t="shared" si="16"/>
        <v>15.663966300310799</v>
      </c>
      <c r="I43" s="65">
        <f t="shared" si="16"/>
        <v>15.663966300310799</v>
      </c>
      <c r="J43" s="65">
        <f t="shared" si="16"/>
        <v>15.663966300310799</v>
      </c>
      <c r="K43" s="65">
        <f t="shared" si="16"/>
        <v>15.663966300310799</v>
      </c>
      <c r="L43" s="43"/>
      <c r="M43" s="65">
        <f>E43/B42</f>
        <v>15.663966300310799</v>
      </c>
      <c r="N43" s="47">
        <f>M43</f>
        <v>15.663966300310799</v>
      </c>
      <c r="O43" s="47">
        <f>N43</f>
        <v>15.663966300310799</v>
      </c>
      <c r="P43" s="47">
        <f t="shared" si="17"/>
        <v>15.663966300310799</v>
      </c>
      <c r="Q43" s="47">
        <f t="shared" si="17"/>
        <v>15.663966300310799</v>
      </c>
      <c r="R43" s="272"/>
      <c r="S43" s="65">
        <f>M43</f>
        <v>15.663966300310799</v>
      </c>
      <c r="T43" s="78">
        <f t="shared" si="18"/>
        <v>14.880767985295257</v>
      </c>
      <c r="U43" s="78">
        <f t="shared" si="18"/>
        <v>14.136729586030494</v>
      </c>
      <c r="V43" s="78">
        <f t="shared" si="18"/>
        <v>13.429893106728969</v>
      </c>
      <c r="W43" s="78">
        <f t="shared" si="18"/>
        <v>12.758398451392519</v>
      </c>
      <c r="X43" s="272"/>
      <c r="Y43" s="272"/>
      <c r="Z43" s="272"/>
      <c r="AA43" s="272"/>
      <c r="AB43" s="272"/>
      <c r="AC43" s="272"/>
      <c r="AD43" s="272"/>
      <c r="AE43" s="272"/>
      <c r="AF43" s="272"/>
      <c r="AG43" s="272"/>
      <c r="AH43" s="272"/>
      <c r="AI43" s="272"/>
      <c r="AJ43" s="272"/>
      <c r="AK43" s="272"/>
      <c r="AL43" s="272"/>
      <c r="AM43" s="272"/>
      <c r="AN43" s="272"/>
      <c r="AO43" s="272"/>
      <c r="AP43" s="272"/>
    </row>
    <row r="44" spans="1:42">
      <c r="A44" s="225" t="s">
        <v>16</v>
      </c>
      <c r="C44" s="271" t="s">
        <v>195</v>
      </c>
      <c r="D44" s="36" t="s">
        <v>171</v>
      </c>
      <c r="E44" s="51">
        <f>[3]Calib_1011!$K$118</f>
        <v>13.5</v>
      </c>
      <c r="F44" s="65">
        <f t="shared" si="15"/>
        <v>13.5</v>
      </c>
      <c r="G44" s="65">
        <f t="shared" si="15"/>
        <v>13.5</v>
      </c>
      <c r="H44" s="65">
        <f t="shared" si="16"/>
        <v>13.5</v>
      </c>
      <c r="I44" s="65">
        <f t="shared" si="16"/>
        <v>13.5</v>
      </c>
      <c r="J44" s="65">
        <f t="shared" si="16"/>
        <v>13.5</v>
      </c>
      <c r="K44" s="65">
        <f t="shared" si="16"/>
        <v>13.5</v>
      </c>
      <c r="L44" s="43"/>
      <c r="M44" s="65">
        <f>E44</f>
        <v>13.5</v>
      </c>
      <c r="N44" s="47">
        <f>M44</f>
        <v>13.5</v>
      </c>
      <c r="O44" s="47">
        <f t="shared" si="17"/>
        <v>13.5</v>
      </c>
      <c r="P44" s="47">
        <f t="shared" si="17"/>
        <v>13.5</v>
      </c>
      <c r="Q44" s="47">
        <f t="shared" si="17"/>
        <v>13.5</v>
      </c>
      <c r="R44" s="272"/>
      <c r="S44" s="65">
        <f>M44</f>
        <v>13.5</v>
      </c>
      <c r="T44" s="78">
        <f t="shared" si="18"/>
        <v>12.824999999999999</v>
      </c>
      <c r="U44" s="78">
        <f t="shared" si="18"/>
        <v>12.183749999999998</v>
      </c>
      <c r="V44" s="78">
        <f t="shared" si="18"/>
        <v>11.574562499999997</v>
      </c>
      <c r="W44" s="78">
        <f t="shared" si="18"/>
        <v>10.995834374999998</v>
      </c>
      <c r="X44" s="272"/>
      <c r="Y44" s="272"/>
      <c r="Z44" s="272"/>
      <c r="AA44" s="272"/>
      <c r="AB44" s="272"/>
      <c r="AC44" s="272"/>
      <c r="AD44" s="272"/>
      <c r="AE44" s="272"/>
      <c r="AF44" s="272"/>
      <c r="AG44" s="272"/>
      <c r="AH44" s="272"/>
      <c r="AI44" s="272"/>
      <c r="AJ44" s="272"/>
      <c r="AK44" s="272"/>
      <c r="AL44" s="272"/>
      <c r="AM44" s="272"/>
      <c r="AN44" s="272"/>
      <c r="AO44" s="272"/>
      <c r="AP44" s="272"/>
    </row>
    <row r="45" spans="1:42">
      <c r="A45" s="225" t="s">
        <v>16</v>
      </c>
      <c r="C45" s="271" t="s">
        <v>6</v>
      </c>
      <c r="D45" s="36" t="s">
        <v>171</v>
      </c>
      <c r="E45" s="226">
        <f t="shared" ref="E45:K45" si="19">SUMPRODUCT(E41:E44,E54:E57)/SUM(E54:E57)</f>
        <v>14.474471344239273</v>
      </c>
      <c r="F45" s="226">
        <f t="shared" si="19"/>
        <v>14.472493906319821</v>
      </c>
      <c r="G45" s="226">
        <f t="shared" ref="G45" si="20">SUMPRODUCT(G41:G44,G54:G57)/SUM(G54:G57)</f>
        <v>14.45244939999637</v>
      </c>
      <c r="H45" s="226">
        <f t="shared" si="19"/>
        <v>14.45244939999637</v>
      </c>
      <c r="I45" s="226">
        <f t="shared" si="19"/>
        <v>14.620925796331626</v>
      </c>
      <c r="J45" s="226">
        <f t="shared" si="19"/>
        <v>14.77382308849703</v>
      </c>
      <c r="K45" s="226">
        <f t="shared" si="19"/>
        <v>14.895352699627434</v>
      </c>
      <c r="L45" s="43"/>
      <c r="M45" s="226"/>
      <c r="R45" s="272"/>
      <c r="S45" s="272"/>
      <c r="T45" s="272"/>
      <c r="U45" s="272"/>
      <c r="V45" s="272"/>
      <c r="W45" s="272"/>
      <c r="X45" s="272"/>
      <c r="Y45" s="272"/>
      <c r="Z45" s="272"/>
      <c r="AA45" s="272"/>
      <c r="AB45" s="272"/>
      <c r="AC45" s="272"/>
      <c r="AD45" s="272"/>
      <c r="AE45" s="272"/>
      <c r="AF45" s="272"/>
      <c r="AG45" s="272"/>
      <c r="AH45" s="272"/>
      <c r="AI45" s="272"/>
      <c r="AJ45" s="272"/>
      <c r="AK45" s="272"/>
      <c r="AL45" s="272"/>
      <c r="AM45" s="272"/>
      <c r="AN45" s="272"/>
      <c r="AO45" s="272"/>
      <c r="AP45" s="272"/>
    </row>
    <row r="46" spans="1:42" ht="15.75" thickBot="1">
      <c r="A46" s="225" t="s">
        <v>16</v>
      </c>
      <c r="C46" s="270" t="s">
        <v>161</v>
      </c>
      <c r="D46" s="270"/>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72"/>
      <c r="Y46" s="272"/>
      <c r="Z46" s="272"/>
      <c r="AA46" s="272"/>
      <c r="AB46" s="272"/>
      <c r="AC46" s="272"/>
      <c r="AD46" s="272"/>
      <c r="AE46" s="272"/>
      <c r="AF46" s="272"/>
      <c r="AG46" s="272"/>
      <c r="AH46" s="272"/>
      <c r="AI46" s="272"/>
      <c r="AJ46" s="272"/>
      <c r="AK46" s="272"/>
      <c r="AL46" s="272"/>
      <c r="AM46" s="272"/>
      <c r="AN46" s="272"/>
      <c r="AO46" s="272"/>
      <c r="AP46" s="272"/>
    </row>
    <row r="47" spans="1:42">
      <c r="A47" s="225" t="s">
        <v>16</v>
      </c>
      <c r="C47" s="225" t="s">
        <v>13</v>
      </c>
      <c r="E47" s="226">
        <f>FTRA!F7</f>
        <v>135.96</v>
      </c>
      <c r="F47" s="226">
        <f>FTRA!G7</f>
        <v>144.16</v>
      </c>
      <c r="G47" s="226">
        <f>FTRA!I7</f>
        <v>138.22</v>
      </c>
      <c r="H47" s="226">
        <f>FTRA!I7</f>
        <v>138.22</v>
      </c>
      <c r="I47" s="226">
        <f>FTRA!J7</f>
        <v>169.63</v>
      </c>
      <c r="J47" s="226">
        <f>FTRA!K7</f>
        <v>224.36</v>
      </c>
      <c r="K47" s="226">
        <f>FTRA!L7</f>
        <v>309.06</v>
      </c>
      <c r="L47" s="43"/>
      <c r="M47" s="226">
        <f>SUMIF(FTRA!$N$4:$AR$4,M46,FTRA!$N$7:$AR$7)</f>
        <v>288.32</v>
      </c>
      <c r="N47" s="226">
        <f>SUMIF(FTRA!$N$4:$AR$4,N46,FTRA!$N$7:$AR$7)</f>
        <v>276.44</v>
      </c>
      <c r="O47" s="226">
        <f>SUMIF(FTRA!$N$4:$AR$4,O46,FTRA!$N$7:$AR$7)</f>
        <v>339.26</v>
      </c>
      <c r="P47" s="226">
        <f>SUMIF(FTRA!$N$4:$AR$4,P46,FTRA!$N$7:$AR$7)</f>
        <v>448.72</v>
      </c>
      <c r="Q47" s="226">
        <f>SUMIF(FTRA!$N$4:$AR$4,Q46,FTRA!$N$7:$AR$7)</f>
        <v>618.12</v>
      </c>
      <c r="R47" s="272"/>
      <c r="S47" s="226">
        <f>SUMIF(FTRA!$N$4:$AR$4,S46,FTRA!$N$7:$AR$7)</f>
        <v>288.32</v>
      </c>
      <c r="T47" s="226">
        <f>SUMIF(FTRA!$N$4:$AR$4,T46,FTRA!$N$7:$AR$7)</f>
        <v>276.44</v>
      </c>
      <c r="U47" s="226">
        <f>SUMIF(FTRA!$N$4:$AR$4,U46,FTRA!$N$7:$AR$7)</f>
        <v>339.26</v>
      </c>
      <c r="V47" s="226">
        <f>SUMIF(FTRA!$N$4:$AR$4,V46,FTRA!$N$7:$AR$7)</f>
        <v>448.72</v>
      </c>
      <c r="W47" s="226">
        <f>SUMIF(FTRA!$N$4:$AR$4,W46,FTRA!$N$7:$AR$7)</f>
        <v>618.12</v>
      </c>
      <c r="X47" s="272"/>
      <c r="Y47" s="272"/>
      <c r="Z47" s="272"/>
      <c r="AA47" s="272"/>
      <c r="AB47" s="272"/>
      <c r="AC47" s="272"/>
      <c r="AD47" s="272"/>
      <c r="AE47" s="272"/>
      <c r="AF47" s="272"/>
      <c r="AG47" s="272"/>
      <c r="AH47" s="272"/>
      <c r="AI47" s="272"/>
      <c r="AJ47" s="272"/>
      <c r="AK47" s="272"/>
      <c r="AL47" s="272"/>
      <c r="AM47" s="272"/>
      <c r="AN47" s="272"/>
      <c r="AO47" s="272"/>
      <c r="AP47" s="272"/>
    </row>
    <row r="48" spans="1:42">
      <c r="A48" s="225" t="s">
        <v>16</v>
      </c>
      <c r="C48" s="225" t="s">
        <v>163</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72"/>
      <c r="S48" s="80">
        <f>$F48</f>
        <v>0.5</v>
      </c>
      <c r="T48" s="48">
        <f>S48</f>
        <v>0.5</v>
      </c>
      <c r="U48" s="48">
        <f>T48</f>
        <v>0.5</v>
      </c>
      <c r="V48" s="48">
        <v>0.4</v>
      </c>
      <c r="W48" s="48">
        <v>0.3</v>
      </c>
      <c r="X48" s="272"/>
      <c r="Y48" s="272"/>
      <c r="Z48" s="272"/>
      <c r="AA48" s="272"/>
      <c r="AB48" s="272"/>
      <c r="AC48" s="272"/>
      <c r="AD48" s="272"/>
      <c r="AE48" s="272"/>
      <c r="AF48" s="272"/>
      <c r="AG48" s="272"/>
      <c r="AH48" s="272"/>
      <c r="AI48" s="272"/>
      <c r="AJ48" s="272"/>
      <c r="AK48" s="272"/>
      <c r="AL48" s="272"/>
      <c r="AM48" s="272"/>
      <c r="AN48" s="272"/>
      <c r="AO48" s="272"/>
      <c r="AP48" s="272"/>
    </row>
    <row r="49" spans="1:42">
      <c r="A49" s="225" t="s">
        <v>16</v>
      </c>
      <c r="C49" s="271" t="s">
        <v>162</v>
      </c>
      <c r="D49" s="225" t="s">
        <v>164</v>
      </c>
      <c r="E49" s="76">
        <f>[3]Calib_1011!$K$116</f>
        <v>0.44857633535499813</v>
      </c>
      <c r="F49" s="24">
        <f>E49*(1+(F48*(F47/E47-1)))</f>
        <v>0.46210357112254363</v>
      </c>
      <c r="G49" s="24">
        <f>F49*(1+(G48*(G47/F47-1)))</f>
        <v>0.45258326308817937</v>
      </c>
      <c r="H49" s="226">
        <f>F49*(1+(H48*(H47/F47-1)))</f>
        <v>0.45258326308817937</v>
      </c>
      <c r="I49" s="226">
        <f>H49*(1+(I48*(I47/H47-1)))</f>
        <v>0.50400722595028224</v>
      </c>
      <c r="J49" s="226">
        <f>I49*(1+(J48*(J47/I47-1)))</f>
        <v>0.56905306802128142</v>
      </c>
      <c r="K49" s="226">
        <f>J49*(1+(K48*(K47/J47-1)))</f>
        <v>0.6335014476719355</v>
      </c>
      <c r="L49" s="43"/>
      <c r="M49" s="226">
        <f>$F49</f>
        <v>0.46210357112254363</v>
      </c>
      <c r="N49" s="226">
        <f>M49*(1+(N48*(N47/M47-1)))</f>
        <v>0.45258326308817937</v>
      </c>
      <c r="O49" s="226">
        <f>N49*(1+(O48*(O47/N47-1)))</f>
        <v>0.50400722595028224</v>
      </c>
      <c r="P49" s="226">
        <f>O49*(1+(P48*(P47/O47-1)))</f>
        <v>0.56905306802128142</v>
      </c>
      <c r="Q49" s="226">
        <f>P49*(1+(Q48*(Q47/P47-1)))</f>
        <v>0.6335014476719355</v>
      </c>
      <c r="R49" s="272"/>
      <c r="S49" s="226">
        <f>$F49</f>
        <v>0.46210357112254363</v>
      </c>
      <c r="T49" s="226">
        <f>S49*(1+(T48*(T47/S47-1)))</f>
        <v>0.45258326308817937</v>
      </c>
      <c r="U49" s="226">
        <f>T49*(1+(U48*(U47/T47-1)))</f>
        <v>0.50400722595028224</v>
      </c>
      <c r="V49" s="226">
        <f>U49*(1+(V48*(V47/U47-1)))</f>
        <v>0.56905306802128142</v>
      </c>
      <c r="W49" s="226">
        <f>V49*(1+(W48*(W47/V47-1)))</f>
        <v>0.6335014476719355</v>
      </c>
      <c r="X49" s="272"/>
      <c r="Y49" s="272"/>
      <c r="Z49" s="272"/>
      <c r="AA49" s="272"/>
      <c r="AB49" s="272"/>
      <c r="AC49" s="272"/>
      <c r="AD49" s="272"/>
      <c r="AE49" s="272"/>
      <c r="AF49" s="272"/>
      <c r="AG49" s="272"/>
      <c r="AH49" s="272"/>
      <c r="AI49" s="272"/>
      <c r="AJ49" s="272"/>
      <c r="AK49" s="272"/>
      <c r="AL49" s="272"/>
      <c r="AM49" s="272"/>
      <c r="AN49" s="272"/>
      <c r="AO49" s="272"/>
      <c r="AP49" s="272"/>
    </row>
    <row r="50" spans="1:42">
      <c r="A50" s="225" t="s">
        <v>16</v>
      </c>
      <c r="C50" s="271" t="s">
        <v>172</v>
      </c>
      <c r="D50" s="225" t="s">
        <v>173</v>
      </c>
      <c r="E50" s="226">
        <f t="shared" ref="E50:K50" si="21">E49*E44</f>
        <v>6.055780527292475</v>
      </c>
      <c r="F50" s="226">
        <f t="shared" si="21"/>
        <v>6.2383982101543394</v>
      </c>
      <c r="G50" s="226">
        <f t="shared" si="21"/>
        <v>6.1098740516904213</v>
      </c>
      <c r="H50" s="226">
        <f t="shared" si="21"/>
        <v>6.1098740516904213</v>
      </c>
      <c r="I50" s="226">
        <f>I49*I44</f>
        <v>6.8040975503288106</v>
      </c>
      <c r="J50" s="226">
        <f t="shared" si="21"/>
        <v>7.6822164182872994</v>
      </c>
      <c r="K50" s="226">
        <f t="shared" si="21"/>
        <v>8.5522695435711285</v>
      </c>
      <c r="L50" s="43"/>
      <c r="M50" s="226">
        <f>M49*M44</f>
        <v>6.2383982101543394</v>
      </c>
      <c r="N50" s="226">
        <f>N49*N44</f>
        <v>6.1098740516904213</v>
      </c>
      <c r="O50" s="226">
        <f>O49*O44</f>
        <v>6.8040975503288106</v>
      </c>
      <c r="P50" s="226">
        <f>P49*P44</f>
        <v>7.6822164182872994</v>
      </c>
      <c r="Q50" s="226">
        <f>Q49*Q44</f>
        <v>8.5522695435711285</v>
      </c>
      <c r="R50" s="272"/>
      <c r="S50" s="226">
        <f>S49*S44</f>
        <v>6.2383982101543394</v>
      </c>
      <c r="T50" s="226">
        <f>T49*T44</f>
        <v>5.8043803491058998</v>
      </c>
      <c r="U50" s="226">
        <f>U49*U44</f>
        <v>6.1406980391717507</v>
      </c>
      <c r="V50" s="226">
        <f>V49*V44</f>
        <v>6.5865403016290713</v>
      </c>
      <c r="W50" s="226">
        <f>W49*W44</f>
        <v>6.965876994923331</v>
      </c>
      <c r="X50" s="272"/>
      <c r="Y50" s="272"/>
      <c r="Z50" s="272"/>
      <c r="AA50" s="272"/>
      <c r="AB50" s="272"/>
      <c r="AC50" s="272"/>
      <c r="AD50" s="272"/>
      <c r="AE50" s="272"/>
      <c r="AF50" s="272"/>
      <c r="AG50" s="272"/>
      <c r="AH50" s="272"/>
      <c r="AI50" s="272"/>
      <c r="AJ50" s="272"/>
      <c r="AK50" s="272"/>
      <c r="AL50" s="272"/>
      <c r="AM50" s="272"/>
      <c r="AN50" s="272"/>
      <c r="AO50" s="272"/>
      <c r="AP50" s="272"/>
    </row>
    <row r="51" spans="1:42">
      <c r="A51" s="225" t="s">
        <v>16</v>
      </c>
      <c r="C51" s="271" t="s">
        <v>174</v>
      </c>
      <c r="D51" s="225" t="s">
        <v>136</v>
      </c>
      <c r="E51" s="226">
        <f t="shared" ref="E51:K51" si="22">E50*E38</f>
        <v>8.4780927382094635</v>
      </c>
      <c r="F51" s="226">
        <f t="shared" si="22"/>
        <v>8.7337574942160749</v>
      </c>
      <c r="G51" s="226">
        <f t="shared" si="22"/>
        <v>8.5538236723665886</v>
      </c>
      <c r="H51" s="226">
        <f t="shared" si="22"/>
        <v>8.5538236723665886</v>
      </c>
      <c r="I51" s="226">
        <f t="shared" si="22"/>
        <v>9.5257365704603334</v>
      </c>
      <c r="J51" s="226">
        <f t="shared" si="22"/>
        <v>10.755102985602219</v>
      </c>
      <c r="K51" s="226">
        <f t="shared" si="22"/>
        <v>11.973177360999578</v>
      </c>
      <c r="L51" s="43"/>
      <c r="M51" s="226">
        <f>M50*M38</f>
        <v>8.7337574942160749</v>
      </c>
      <c r="N51" s="226">
        <f>N50*N38</f>
        <v>8.5538236723665886</v>
      </c>
      <c r="O51" s="226">
        <f>O50*O38</f>
        <v>9.5257365704603334</v>
      </c>
      <c r="P51" s="226">
        <f>P50*P38</f>
        <v>10.755102985602219</v>
      </c>
      <c r="Q51" s="226">
        <f>Q50*Q38</f>
        <v>11.973177360999578</v>
      </c>
      <c r="R51" s="272"/>
      <c r="S51" s="226">
        <f>S50*S38</f>
        <v>8.7337574942160749</v>
      </c>
      <c r="T51" s="226">
        <f>T50*T38</f>
        <v>8.3292858009669661</v>
      </c>
      <c r="U51" s="226">
        <f>U50*U38</f>
        <v>9.0321992283667463</v>
      </c>
      <c r="V51" s="226">
        <f>V50*V38</f>
        <v>9.9301769028126241</v>
      </c>
      <c r="W51" s="226">
        <f>W50*W38</f>
        <v>10.764634750106312</v>
      </c>
      <c r="X51" s="272"/>
      <c r="Y51" s="272"/>
      <c r="Z51" s="272"/>
      <c r="AA51" s="272"/>
      <c r="AB51" s="272"/>
      <c r="AC51" s="272"/>
      <c r="AD51" s="272"/>
      <c r="AE51" s="272"/>
      <c r="AF51" s="272"/>
      <c r="AG51" s="272"/>
      <c r="AH51" s="272"/>
      <c r="AI51" s="272"/>
      <c r="AJ51" s="272"/>
      <c r="AK51" s="272"/>
      <c r="AL51" s="272"/>
      <c r="AM51" s="272"/>
      <c r="AN51" s="272"/>
      <c r="AO51" s="272"/>
      <c r="AP51" s="272"/>
    </row>
    <row r="52" spans="1:42">
      <c r="A52" s="225" t="s">
        <v>16</v>
      </c>
      <c r="C52" s="271"/>
      <c r="E52" s="30"/>
    </row>
    <row r="53" spans="1:42" ht="15.75" thickBot="1">
      <c r="A53" s="225" t="s">
        <v>16</v>
      </c>
      <c r="B53" s="270" t="s">
        <v>84</v>
      </c>
      <c r="D53" s="270"/>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225" t="s">
        <v>16</v>
      </c>
      <c r="C54" s="271" t="str">
        <f>C30</f>
        <v>Low Income</v>
      </c>
      <c r="D54" s="225" t="s">
        <v>67</v>
      </c>
      <c r="E54" s="226">
        <f>E30*E25*E13</f>
        <v>0.13258848475798365</v>
      </c>
      <c r="F54" s="65">
        <f t="shared" ref="F54:G61" si="23">IF($D$4,S54,M54)</f>
        <v>0.13258848475798365</v>
      </c>
      <c r="G54" s="65">
        <f t="shared" si="23"/>
        <v>0.13547279338694881</v>
      </c>
      <c r="H54" s="226">
        <f t="shared" ref="H54:K61" si="24">IF($D$4,T54,N54)</f>
        <v>0.13547279338694881</v>
      </c>
      <c r="I54" s="226">
        <f t="shared" si="24"/>
        <v>0.13257355158393239</v>
      </c>
      <c r="J54" s="226">
        <f t="shared" si="24"/>
        <v>0.1152475060861403</v>
      </c>
      <c r="K54" s="226">
        <f t="shared" si="24"/>
        <v>9.7548979712865566E-2</v>
      </c>
      <c r="L54" s="43"/>
      <c r="M54" s="226">
        <f t="shared" ref="M54:Q56" si="25">M30*M25*M13</f>
        <v>0.13258848475798365</v>
      </c>
      <c r="N54" s="226">
        <f t="shared" si="25"/>
        <v>0.13547279338694881</v>
      </c>
      <c r="O54" s="226">
        <f t="shared" si="25"/>
        <v>0.13257355158393239</v>
      </c>
      <c r="P54" s="226">
        <f t="shared" si="25"/>
        <v>0.1152475060861403</v>
      </c>
      <c r="Q54" s="226">
        <f t="shared" si="25"/>
        <v>9.7548979712865566E-2</v>
      </c>
      <c r="R54" s="272"/>
      <c r="S54" s="226">
        <f t="shared" ref="S54:W56" si="26">S30*S25*S13</f>
        <v>0.13258848475798365</v>
      </c>
      <c r="T54" s="226">
        <f t="shared" si="26"/>
        <v>0.38609746115280402</v>
      </c>
      <c r="U54" s="226">
        <f t="shared" si="26"/>
        <v>0.29911907576124741</v>
      </c>
      <c r="V54" s="226">
        <f t="shared" si="26"/>
        <v>0.19762066106120907</v>
      </c>
      <c r="W54" s="226">
        <f t="shared" si="26"/>
        <v>0.1589085073145044</v>
      </c>
      <c r="X54" s="272"/>
      <c r="Y54" s="272"/>
      <c r="Z54" s="272"/>
      <c r="AA54" s="272"/>
      <c r="AB54" s="272"/>
      <c r="AC54" s="272"/>
      <c r="AD54" s="272"/>
      <c r="AE54" s="272"/>
      <c r="AF54" s="272"/>
      <c r="AG54" s="272"/>
      <c r="AH54" s="272"/>
      <c r="AI54" s="272"/>
      <c r="AJ54" s="272"/>
      <c r="AK54" s="272"/>
      <c r="AL54" s="272"/>
      <c r="AM54" s="272"/>
      <c r="AN54" s="272"/>
      <c r="AO54" s="272"/>
      <c r="AP54" s="272"/>
    </row>
    <row r="55" spans="1:42">
      <c r="A55" s="225" t="s">
        <v>16</v>
      </c>
      <c r="C55" s="271" t="str">
        <f>C31</f>
        <v>Middle Income</v>
      </c>
      <c r="D55" s="225" t="s">
        <v>67</v>
      </c>
      <c r="E55" s="226">
        <f>E31*E26*E14</f>
        <v>2.6403937600768872</v>
      </c>
      <c r="F55" s="226">
        <f t="shared" si="23"/>
        <v>2.6403937600768872</v>
      </c>
      <c r="G55" s="226">
        <f t="shared" si="23"/>
        <v>3.0712037402566676</v>
      </c>
      <c r="H55" s="226">
        <f t="shared" si="24"/>
        <v>3.0712037402566676</v>
      </c>
      <c r="I55" s="226">
        <f t="shared" si="24"/>
        <v>3.3844839066079966</v>
      </c>
      <c r="J55" s="226">
        <f t="shared" si="24"/>
        <v>3.9348100036581517</v>
      </c>
      <c r="K55" s="226">
        <f t="shared" si="24"/>
        <v>4.514883711010083</v>
      </c>
      <c r="L55" s="43"/>
      <c r="M55" s="226">
        <f t="shared" si="25"/>
        <v>2.6403937600768872</v>
      </c>
      <c r="N55" s="226">
        <f t="shared" si="25"/>
        <v>3.0712037402566676</v>
      </c>
      <c r="O55" s="226">
        <f t="shared" si="25"/>
        <v>3.3844839066079966</v>
      </c>
      <c r="P55" s="226">
        <f t="shared" si="25"/>
        <v>3.9348100036581517</v>
      </c>
      <c r="Q55" s="226">
        <f t="shared" si="25"/>
        <v>4.514883711010083</v>
      </c>
      <c r="R55" s="272"/>
      <c r="S55" s="226">
        <f t="shared" si="26"/>
        <v>2.6403937600768872</v>
      </c>
      <c r="T55" s="226">
        <f t="shared" si="26"/>
        <v>2.7717613755816424</v>
      </c>
      <c r="U55" s="226">
        <f t="shared" si="26"/>
        <v>2.7566832949566287</v>
      </c>
      <c r="V55" s="226">
        <f t="shared" si="26"/>
        <v>2.8924469248392328</v>
      </c>
      <c r="W55" s="226">
        <f t="shared" si="26"/>
        <v>2.9952660987782713</v>
      </c>
      <c r="X55" s="272"/>
      <c r="Y55" s="272"/>
      <c r="Z55" s="272"/>
      <c r="AA55" s="272"/>
      <c r="AB55" s="272"/>
      <c r="AC55" s="272"/>
      <c r="AD55" s="272"/>
      <c r="AE55" s="272"/>
      <c r="AF55" s="272"/>
      <c r="AG55" s="272"/>
      <c r="AH55" s="272"/>
      <c r="AI55" s="272"/>
      <c r="AJ55" s="272"/>
      <c r="AK55" s="272"/>
      <c r="AL55" s="272"/>
      <c r="AM55" s="272"/>
      <c r="AN55" s="272"/>
      <c r="AO55" s="272"/>
      <c r="AP55" s="272"/>
    </row>
    <row r="56" spans="1:42">
      <c r="A56" s="225" t="s">
        <v>16</v>
      </c>
      <c r="C56" s="271" t="str">
        <f>C32</f>
        <v>High Income</v>
      </c>
      <c r="D56" s="225" t="s">
        <v>67</v>
      </c>
      <c r="E56" s="226">
        <f>E32*E27*E15</f>
        <v>3.4310671350742488</v>
      </c>
      <c r="F56" s="226">
        <f t="shared" si="23"/>
        <v>3.4310671350742488</v>
      </c>
      <c r="G56" s="226">
        <f t="shared" si="23"/>
        <v>3.6964071571597099</v>
      </c>
      <c r="H56" s="226">
        <f t="shared" si="24"/>
        <v>3.6964071571597099</v>
      </c>
      <c r="I56" s="226">
        <f t="shared" si="24"/>
        <v>5.2827427756688037</v>
      </c>
      <c r="J56" s="226">
        <f t="shared" si="24"/>
        <v>7.6807834746288526</v>
      </c>
      <c r="K56" s="226">
        <f t="shared" si="24"/>
        <v>10.699345710209208</v>
      </c>
      <c r="L56" s="43"/>
      <c r="M56" s="226">
        <f t="shared" si="25"/>
        <v>3.4310671350742488</v>
      </c>
      <c r="N56" s="226">
        <f t="shared" si="25"/>
        <v>3.6964071571597099</v>
      </c>
      <c r="O56" s="226">
        <f t="shared" si="25"/>
        <v>5.2827427756688037</v>
      </c>
      <c r="P56" s="226">
        <f t="shared" si="25"/>
        <v>7.6807834746288526</v>
      </c>
      <c r="Q56" s="226">
        <f t="shared" si="25"/>
        <v>10.699345710209208</v>
      </c>
      <c r="R56" s="272"/>
      <c r="S56" s="226">
        <f t="shared" si="26"/>
        <v>3.4310671350742488</v>
      </c>
      <c r="T56" s="226">
        <f t="shared" si="26"/>
        <v>3.5563794015753372</v>
      </c>
      <c r="U56" s="226">
        <f t="shared" si="26"/>
        <v>4.6483967111317188</v>
      </c>
      <c r="V56" s="226">
        <f t="shared" si="26"/>
        <v>6.0675377396277277</v>
      </c>
      <c r="W56" s="226">
        <f t="shared" si="26"/>
        <v>7.5257918937880461</v>
      </c>
      <c r="X56" s="272"/>
      <c r="Y56" s="272"/>
      <c r="Z56" s="272"/>
      <c r="AA56" s="272"/>
      <c r="AB56" s="272"/>
      <c r="AC56" s="272"/>
      <c r="AD56" s="272"/>
      <c r="AE56" s="272"/>
      <c r="AF56" s="272"/>
      <c r="AG56" s="272"/>
      <c r="AH56" s="272"/>
      <c r="AI56" s="272"/>
      <c r="AJ56" s="272"/>
      <c r="AK56" s="272"/>
      <c r="AL56" s="272"/>
      <c r="AM56" s="272"/>
      <c r="AN56" s="272"/>
      <c r="AO56" s="272"/>
      <c r="AP56" s="272"/>
    </row>
    <row r="57" spans="1:42">
      <c r="A57" s="225" t="s">
        <v>16</v>
      </c>
      <c r="C57" s="271" t="s">
        <v>165</v>
      </c>
      <c r="D57" s="225" t="s">
        <v>67</v>
      </c>
      <c r="E57" s="226">
        <f>E49</f>
        <v>0.44857633535499813</v>
      </c>
      <c r="F57" s="226">
        <f t="shared" si="23"/>
        <v>0.46210357112254363</v>
      </c>
      <c r="G57" s="226">
        <f t="shared" si="23"/>
        <v>0.45258326308817937</v>
      </c>
      <c r="H57" s="226">
        <f t="shared" si="24"/>
        <v>0.45258326308817937</v>
      </c>
      <c r="I57" s="226">
        <f t="shared" si="24"/>
        <v>0.50400722595028224</v>
      </c>
      <c r="J57" s="226">
        <f t="shared" si="24"/>
        <v>0.56905306802128142</v>
      </c>
      <c r="K57" s="226">
        <f t="shared" si="24"/>
        <v>0.6335014476719355</v>
      </c>
      <c r="L57" s="43"/>
      <c r="M57" s="226">
        <f>M49</f>
        <v>0.46210357112254363</v>
      </c>
      <c r="N57" s="226">
        <f>N49</f>
        <v>0.45258326308817937</v>
      </c>
      <c r="O57" s="226">
        <f>O49</f>
        <v>0.50400722595028224</v>
      </c>
      <c r="P57" s="226">
        <f>P49</f>
        <v>0.56905306802128142</v>
      </c>
      <c r="Q57" s="226">
        <f>Q49</f>
        <v>0.6335014476719355</v>
      </c>
      <c r="R57" s="272"/>
      <c r="S57" s="226">
        <f>S49</f>
        <v>0.46210357112254363</v>
      </c>
      <c r="T57" s="226">
        <f>T49</f>
        <v>0.45258326308817937</v>
      </c>
      <c r="U57" s="226">
        <f>U49</f>
        <v>0.50400722595028224</v>
      </c>
      <c r="V57" s="226">
        <f>V49</f>
        <v>0.56905306802128142</v>
      </c>
      <c r="W57" s="226">
        <f>W49</f>
        <v>0.6335014476719355</v>
      </c>
      <c r="X57" s="272"/>
      <c r="Y57" s="272"/>
      <c r="Z57" s="272"/>
      <c r="AA57" s="272"/>
      <c r="AB57" s="272"/>
      <c r="AC57" s="272"/>
      <c r="AD57" s="272"/>
      <c r="AE57" s="272"/>
      <c r="AF57" s="272"/>
      <c r="AG57" s="272"/>
      <c r="AH57" s="272"/>
      <c r="AI57" s="272"/>
      <c r="AJ57" s="272"/>
      <c r="AK57" s="272"/>
      <c r="AL57" s="272"/>
      <c r="AM57" s="272"/>
      <c r="AN57" s="272"/>
      <c r="AO57" s="272"/>
      <c r="AP57" s="272"/>
    </row>
    <row r="58" spans="1:42">
      <c r="A58" s="225" t="s">
        <v>16</v>
      </c>
      <c r="C58" s="271" t="s">
        <v>64</v>
      </c>
      <c r="D58" s="225" t="s">
        <v>67</v>
      </c>
      <c r="E58" s="226">
        <f>SUM(E54:E57)</f>
        <v>6.6526257152641177</v>
      </c>
      <c r="F58" s="226">
        <f t="shared" si="23"/>
        <v>6.6661529510316635</v>
      </c>
      <c r="G58" s="226">
        <f t="shared" si="23"/>
        <v>7.3556669538915056</v>
      </c>
      <c r="H58" s="226">
        <f t="shared" si="24"/>
        <v>7.3556669538915056</v>
      </c>
      <c r="I58" s="226">
        <f t="shared" si="24"/>
        <v>9.303807459811015</v>
      </c>
      <c r="J58" s="226">
        <f t="shared" si="24"/>
        <v>12.299894052394427</v>
      </c>
      <c r="K58" s="226">
        <f t="shared" si="24"/>
        <v>15.945279848604091</v>
      </c>
      <c r="L58" s="43"/>
      <c r="M58" s="226">
        <f>SUM(M54:M57)</f>
        <v>6.6661529510316635</v>
      </c>
      <c r="N58" s="226">
        <f>SUM(N54:N57)</f>
        <v>7.3556669538915056</v>
      </c>
      <c r="O58" s="226">
        <f>SUM(O54:O57)</f>
        <v>9.303807459811015</v>
      </c>
      <c r="P58" s="226">
        <f>SUM(P54:P57)</f>
        <v>12.299894052394427</v>
      </c>
      <c r="Q58" s="226">
        <f>SUM(Q54:Q57)</f>
        <v>15.945279848604091</v>
      </c>
      <c r="R58" s="272"/>
      <c r="S58" s="226">
        <f>SUM(S54:S57)</f>
        <v>6.6661529510316635</v>
      </c>
      <c r="T58" s="226">
        <f>SUM(T54:T57)</f>
        <v>7.1668215013979628</v>
      </c>
      <c r="U58" s="226">
        <f>SUM(U54:U57)</f>
        <v>8.2082063077998768</v>
      </c>
      <c r="V58" s="226">
        <f>SUM(V54:V57)</f>
        <v>9.7266583935494513</v>
      </c>
      <c r="W58" s="226">
        <f>SUM(W54:W57)</f>
        <v>11.313467947552757</v>
      </c>
      <c r="X58" s="272"/>
      <c r="Y58" s="272"/>
      <c r="Z58" s="272"/>
      <c r="AA58" s="272"/>
      <c r="AB58" s="272"/>
      <c r="AC58" s="272"/>
      <c r="AD58" s="272"/>
      <c r="AE58" s="272"/>
      <c r="AF58" s="272"/>
      <c r="AG58" s="272"/>
      <c r="AH58" s="272"/>
      <c r="AI58" s="272"/>
      <c r="AJ58" s="272"/>
      <c r="AK58" s="272"/>
      <c r="AL58" s="272"/>
      <c r="AM58" s="272"/>
      <c r="AN58" s="272"/>
      <c r="AO58" s="272"/>
      <c r="AP58" s="272"/>
    </row>
    <row r="59" spans="1:42">
      <c r="A59" s="225" t="s">
        <v>16</v>
      </c>
      <c r="C59" s="271" t="s">
        <v>65</v>
      </c>
      <c r="D59" s="225" t="s">
        <v>66</v>
      </c>
      <c r="E59" s="49">
        <f>E16/E58</f>
        <v>7.9715893047042634</v>
      </c>
      <c r="F59" s="49">
        <f t="shared" si="23"/>
        <v>8.1741298767480348</v>
      </c>
      <c r="G59" s="49">
        <f t="shared" si="23"/>
        <v>7.7712871393338423</v>
      </c>
      <c r="H59" s="49">
        <f t="shared" si="24"/>
        <v>7.7712871393338423</v>
      </c>
      <c r="I59" s="49">
        <f t="shared" si="24"/>
        <v>6.7505696212328701</v>
      </c>
      <c r="J59" s="49">
        <f t="shared" si="24"/>
        <v>5.5763081948374937</v>
      </c>
      <c r="K59" s="49">
        <f t="shared" si="24"/>
        <v>4.7158783485749192</v>
      </c>
      <c r="L59" s="43"/>
      <c r="M59" s="49">
        <f>F16/M58</f>
        <v>8.1741298767480348</v>
      </c>
      <c r="N59" s="49">
        <f>H16/N58</f>
        <v>7.7712871393338423</v>
      </c>
      <c r="O59" s="49">
        <f>I16/O58</f>
        <v>6.7505696212328701</v>
      </c>
      <c r="P59" s="49">
        <f>J16/P58</f>
        <v>5.5763081948374937</v>
      </c>
      <c r="Q59" s="49">
        <f>K16/Q58</f>
        <v>4.7158783485749192</v>
      </c>
      <c r="R59" s="272"/>
      <c r="S59" s="49">
        <f>S16/S58</f>
        <v>7.9554130230079227</v>
      </c>
      <c r="T59" s="49">
        <f>T16/T58</f>
        <v>7.9760602365846225</v>
      </c>
      <c r="U59" s="49">
        <f>U16/U58</f>
        <v>7.6516107959321609</v>
      </c>
      <c r="V59" s="49">
        <f>V16/V58</f>
        <v>7.0515481499264281</v>
      </c>
      <c r="W59" s="49">
        <f>W16/W58</f>
        <v>6.6465915092167487</v>
      </c>
      <c r="X59" s="272"/>
      <c r="Y59" s="272"/>
      <c r="Z59" s="272"/>
      <c r="AA59" s="272"/>
      <c r="AB59" s="272"/>
      <c r="AC59" s="272"/>
      <c r="AD59" s="272"/>
      <c r="AE59" s="272"/>
      <c r="AF59" s="272"/>
      <c r="AG59" s="272"/>
      <c r="AH59" s="272"/>
      <c r="AI59" s="272"/>
      <c r="AJ59" s="272"/>
      <c r="AK59" s="272"/>
      <c r="AL59" s="272"/>
      <c r="AM59" s="272"/>
      <c r="AN59" s="272"/>
      <c r="AO59" s="272"/>
      <c r="AP59" s="272"/>
    </row>
    <row r="60" spans="1:42">
      <c r="A60" s="225" t="s">
        <v>16</v>
      </c>
      <c r="C60" s="271" t="s">
        <v>166</v>
      </c>
      <c r="D60" s="225" t="s">
        <v>144</v>
      </c>
      <c r="E60" s="226">
        <f>1000/E59</f>
        <v>125.44549923186224</v>
      </c>
      <c r="F60" s="226">
        <f t="shared" si="23"/>
        <v>122.33718023548657</v>
      </c>
      <c r="G60" s="226">
        <f t="shared" si="23"/>
        <v>128.67881241172623</v>
      </c>
      <c r="H60" s="226">
        <f t="shared" si="24"/>
        <v>128.67881241172623</v>
      </c>
      <c r="I60" s="226">
        <f t="shared" si="24"/>
        <v>148.13564722814723</v>
      </c>
      <c r="J60" s="226">
        <f t="shared" si="24"/>
        <v>179.33011681918745</v>
      </c>
      <c r="K60" s="226">
        <f t="shared" si="24"/>
        <v>212.0495750918146</v>
      </c>
      <c r="M60" s="226">
        <f>1000/M59</f>
        <v>122.33718023548657</v>
      </c>
      <c r="N60" s="226">
        <f>1000/N59</f>
        <v>128.67881241172623</v>
      </c>
      <c r="O60" s="226">
        <f>1000/O59</f>
        <v>148.13564722814723</v>
      </c>
      <c r="P60" s="226">
        <f>1000/P59</f>
        <v>179.33011681918745</v>
      </c>
      <c r="Q60" s="226">
        <f>1000/Q59</f>
        <v>212.0495750918146</v>
      </c>
      <c r="S60" s="226">
        <f>1000/S59</f>
        <v>125.70057608673376</v>
      </c>
      <c r="T60" s="226">
        <f>1000/T59</f>
        <v>125.37518152297751</v>
      </c>
      <c r="U60" s="226">
        <f>1000/U59</f>
        <v>130.69143565582709</v>
      </c>
      <c r="V60" s="226">
        <f>1000/V59</f>
        <v>141.81283013864601</v>
      </c>
      <c r="W60" s="226">
        <f>1000/W59</f>
        <v>150.45305531614392</v>
      </c>
    </row>
    <row r="61" spans="1:42">
      <c r="A61" s="225" t="s">
        <v>16</v>
      </c>
      <c r="C61" s="271" t="s">
        <v>167</v>
      </c>
      <c r="E61" s="275">
        <f>E57/E58</f>
        <v>6.7428464271747937E-2</v>
      </c>
      <c r="F61" s="275">
        <f t="shared" si="23"/>
        <v>6.9320877351160659E-2</v>
      </c>
      <c r="G61" s="275">
        <f t="shared" si="23"/>
        <v>6.1528514807041502E-2</v>
      </c>
      <c r="H61" s="275">
        <f t="shared" si="24"/>
        <v>6.1528514807041502E-2</v>
      </c>
      <c r="I61" s="275">
        <f t="shared" si="24"/>
        <v>5.4172147062093216E-2</v>
      </c>
      <c r="J61" s="275">
        <f t="shared" si="24"/>
        <v>4.6264875583257856E-2</v>
      </c>
      <c r="K61" s="275">
        <f t="shared" si="24"/>
        <v>3.9729716485809724E-2</v>
      </c>
      <c r="M61" s="275">
        <f>M57/M58</f>
        <v>6.9320877351160659E-2</v>
      </c>
      <c r="N61" s="275">
        <f>N57/N58</f>
        <v>6.1528514807041502E-2</v>
      </c>
      <c r="O61" s="275">
        <f>O57/O58</f>
        <v>5.4172147062093216E-2</v>
      </c>
      <c r="P61" s="275">
        <f>P57/P58</f>
        <v>4.6264875583257856E-2</v>
      </c>
      <c r="Q61" s="275">
        <f>Q57/Q58</f>
        <v>3.9729716485809724E-2</v>
      </c>
      <c r="S61" s="275">
        <f>S57/S58</f>
        <v>6.9320877351160659E-2</v>
      </c>
      <c r="T61" s="275">
        <f>T57/T58</f>
        <v>6.3149788647575256E-2</v>
      </c>
      <c r="U61" s="275">
        <f>U57/U58</f>
        <v>6.1402845768063555E-2</v>
      </c>
      <c r="V61" s="275">
        <f>V57/V58</f>
        <v>5.8504477591057112E-2</v>
      </c>
      <c r="W61" s="275">
        <f>W57/W58</f>
        <v>5.5995336762232104E-2</v>
      </c>
    </row>
    <row r="62" spans="1:42">
      <c r="A62" s="225" t="s">
        <v>16</v>
      </c>
      <c r="C62" s="271"/>
      <c r="E62" s="275"/>
      <c r="F62" s="275"/>
      <c r="G62" s="275"/>
      <c r="H62" s="275"/>
      <c r="I62" s="275"/>
      <c r="J62" s="275"/>
      <c r="K62" s="275"/>
    </row>
    <row r="63" spans="1:42" ht="15.75" thickBot="1">
      <c r="A63" s="225" t="s">
        <v>16</v>
      </c>
      <c r="C63" s="270" t="s">
        <v>80</v>
      </c>
      <c r="E63" s="275"/>
      <c r="F63" s="275"/>
      <c r="G63" s="275"/>
      <c r="H63" s="275"/>
      <c r="I63" s="275"/>
      <c r="J63" s="275"/>
      <c r="K63" s="275"/>
    </row>
    <row r="64" spans="1:42">
      <c r="A64" s="225" t="s">
        <v>16</v>
      </c>
      <c r="C64" s="271" t="s">
        <v>168</v>
      </c>
      <c r="D64" s="225" t="s">
        <v>169</v>
      </c>
      <c r="E64" s="72">
        <f>[3]Calib_1011!$H$96*[3]Calib_1011!$H$97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225" t="s">
        <v>16</v>
      </c>
      <c r="C65" s="271"/>
      <c r="M65" s="8"/>
    </row>
    <row r="66" spans="1:42" ht="15.75" thickBot="1">
      <c r="A66" s="225" t="s">
        <v>16</v>
      </c>
      <c r="C66" s="270" t="s">
        <v>178</v>
      </c>
      <c r="M66" s="8"/>
    </row>
    <row r="67" spans="1:42">
      <c r="A67" s="225" t="s">
        <v>16</v>
      </c>
      <c r="C67" s="271" t="s">
        <v>179</v>
      </c>
      <c r="D67" s="225" t="s">
        <v>170</v>
      </c>
      <c r="E67" s="240">
        <f>[3]Calib_1011!$H$102</f>
        <v>33.5</v>
      </c>
      <c r="F67" s="81">
        <f t="shared" ref="F67:G70" si="27">E67</f>
        <v>33.5</v>
      </c>
      <c r="G67" s="81">
        <f t="shared" si="27"/>
        <v>33.5</v>
      </c>
      <c r="H67" s="81">
        <f t="shared" ref="H67:K70" si="28">IF($D$4,T67,N67)</f>
        <v>33.5</v>
      </c>
      <c r="I67" s="81">
        <f t="shared" si="28"/>
        <v>33.5</v>
      </c>
      <c r="J67" s="81">
        <f t="shared" si="28"/>
        <v>33.5</v>
      </c>
      <c r="K67" s="81">
        <f t="shared" si="28"/>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225" t="s">
        <v>16</v>
      </c>
      <c r="C68" s="271" t="s">
        <v>63</v>
      </c>
      <c r="D68" s="225" t="s">
        <v>170</v>
      </c>
      <c r="E68" s="64">
        <f>E70*1.5</f>
        <v>32.25</v>
      </c>
      <c r="F68" s="81">
        <f t="shared" si="27"/>
        <v>32.25</v>
      </c>
      <c r="G68" s="81">
        <f t="shared" si="27"/>
        <v>32.25</v>
      </c>
      <c r="H68" s="81">
        <f t="shared" si="28"/>
        <v>32.25</v>
      </c>
      <c r="I68" s="81">
        <f t="shared" si="28"/>
        <v>32.25</v>
      </c>
      <c r="J68" s="81">
        <f t="shared" si="28"/>
        <v>32.25</v>
      </c>
      <c r="K68" s="81">
        <f t="shared" si="28"/>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225" t="s">
        <v>16</v>
      </c>
      <c r="C69" s="271" t="s">
        <v>82</v>
      </c>
      <c r="D69" s="225" t="s">
        <v>170</v>
      </c>
      <c r="E69" s="64">
        <f>E70*2</f>
        <v>43</v>
      </c>
      <c r="F69" s="81">
        <f t="shared" si="27"/>
        <v>43</v>
      </c>
      <c r="G69" s="81">
        <f t="shared" si="27"/>
        <v>43</v>
      </c>
      <c r="H69" s="81">
        <f t="shared" si="28"/>
        <v>43</v>
      </c>
      <c r="I69" s="81">
        <f t="shared" si="28"/>
        <v>43</v>
      </c>
      <c r="J69" s="81">
        <f t="shared" si="28"/>
        <v>43</v>
      </c>
      <c r="K69" s="81">
        <f t="shared" si="28"/>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225" t="s">
        <v>16</v>
      </c>
      <c r="C70" s="271" t="s">
        <v>180</v>
      </c>
      <c r="D70" s="225" t="s">
        <v>170</v>
      </c>
      <c r="E70" s="72">
        <f>[3]Calib_1011!$H$101</f>
        <v>21.5</v>
      </c>
      <c r="F70" s="81">
        <f t="shared" si="27"/>
        <v>21.5</v>
      </c>
      <c r="G70" s="81">
        <f t="shared" si="27"/>
        <v>21.5</v>
      </c>
      <c r="H70" s="81">
        <f t="shared" si="28"/>
        <v>21.5</v>
      </c>
      <c r="I70" s="81">
        <f t="shared" si="28"/>
        <v>21.5</v>
      </c>
      <c r="J70" s="81">
        <f t="shared" si="28"/>
        <v>21.5</v>
      </c>
      <c r="K70" s="81">
        <f t="shared" si="28"/>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225" t="s">
        <v>16</v>
      </c>
      <c r="C71" s="271"/>
    </row>
    <row r="72" spans="1:42" ht="15.75" thickBot="1">
      <c r="A72" s="225" t="s">
        <v>16</v>
      </c>
      <c r="C72" s="270" t="s">
        <v>177</v>
      </c>
      <c r="E72" s="7"/>
      <c r="F72" s="7"/>
      <c r="G72" s="7"/>
      <c r="H72" s="7"/>
      <c r="I72" s="7"/>
      <c r="J72" s="7"/>
      <c r="K72" s="7"/>
    </row>
    <row r="73" spans="1:42">
      <c r="A73" s="225" t="s">
        <v>16</v>
      </c>
      <c r="C73" s="271" t="s">
        <v>181</v>
      </c>
      <c r="E73" s="273">
        <f>[3]Calib_1011!$H$100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74">
        <f>$F73</f>
        <v>0.55000000000000004</v>
      </c>
      <c r="N73" s="35">
        <f>M73</f>
        <v>0.55000000000000004</v>
      </c>
      <c r="O73" s="35">
        <f>N73</f>
        <v>0.55000000000000004</v>
      </c>
      <c r="P73" s="35">
        <f>O73</f>
        <v>0.55000000000000004</v>
      </c>
      <c r="Q73" s="35">
        <f>P73</f>
        <v>0.55000000000000004</v>
      </c>
      <c r="S73" s="274">
        <f>$F73</f>
        <v>0.55000000000000004</v>
      </c>
      <c r="T73" s="35">
        <f>S73</f>
        <v>0.55000000000000004</v>
      </c>
      <c r="U73" s="35">
        <f>T73</f>
        <v>0.55000000000000004</v>
      </c>
      <c r="V73" s="35">
        <f>U73</f>
        <v>0.55000000000000004</v>
      </c>
      <c r="W73" s="35">
        <f>V73</f>
        <v>0.55000000000000004</v>
      </c>
    </row>
    <row r="74" spans="1:42">
      <c r="A74" s="225" t="s">
        <v>16</v>
      </c>
      <c r="C74" s="75" t="s">
        <v>192</v>
      </c>
      <c r="E74" s="7"/>
      <c r="F74" s="7"/>
      <c r="G74" s="7"/>
      <c r="H74" s="7"/>
      <c r="I74" s="7"/>
      <c r="J74" s="7"/>
      <c r="K74" s="7"/>
      <c r="S74" s="225" t="s">
        <v>203</v>
      </c>
    </row>
    <row r="75" spans="1:42">
      <c r="A75" s="225" t="s">
        <v>16</v>
      </c>
      <c r="C75" s="39" t="str">
        <f>C54</f>
        <v>Low Income</v>
      </c>
      <c r="D75" s="225" t="s">
        <v>191</v>
      </c>
      <c r="E75" s="226">
        <f>E$25*E$13</f>
        <v>0.53035393903193462</v>
      </c>
      <c r="F75" s="226">
        <f t="shared" ref="F75:K75" si="29">F25*F13</f>
        <v>0.52471146184269468</v>
      </c>
      <c r="G75" s="226">
        <f t="shared" si="29"/>
        <v>0.52251900037971721</v>
      </c>
      <c r="H75" s="226">
        <f t="shared" si="29"/>
        <v>0.54189117354779526</v>
      </c>
      <c r="I75" s="226">
        <f t="shared" si="29"/>
        <v>0.53029420633572955</v>
      </c>
      <c r="J75" s="226">
        <f t="shared" si="29"/>
        <v>0.46099002434456121</v>
      </c>
      <c r="K75" s="226">
        <f t="shared" si="29"/>
        <v>0.39019591885146226</v>
      </c>
      <c r="M75" s="226">
        <f>M25*M13</f>
        <v>0.53035393903193462</v>
      </c>
      <c r="N75" s="226">
        <f>N25*N13</f>
        <v>0.54189117354779526</v>
      </c>
      <c r="O75" s="226">
        <f>O25*O13</f>
        <v>0.53029420633572955</v>
      </c>
      <c r="P75" s="226">
        <f>P25*P13</f>
        <v>0.46099002434456121</v>
      </c>
      <c r="Q75" s="226">
        <f>Q25*Q13</f>
        <v>0.39019591885146226</v>
      </c>
      <c r="S75" s="226">
        <f>S25*S13</f>
        <v>0.53035393903193462</v>
      </c>
      <c r="T75" s="226">
        <f>T25*T13</f>
        <v>1.6256735206433854</v>
      </c>
      <c r="U75" s="226">
        <f>U25*U13</f>
        <v>1.325735515839324</v>
      </c>
      <c r="V75" s="226">
        <f>V25*V13</f>
        <v>0.92198004868912242</v>
      </c>
      <c r="W75" s="226">
        <f>W25*W13</f>
        <v>0.78039183770292453</v>
      </c>
    </row>
    <row r="76" spans="1:42">
      <c r="A76" s="225" t="s">
        <v>16</v>
      </c>
      <c r="C76" s="39"/>
      <c r="E76" s="226"/>
      <c r="F76" s="226"/>
      <c r="G76" s="226"/>
      <c r="H76" s="226"/>
      <c r="I76" s="226"/>
      <c r="J76" s="226"/>
      <c r="K76" s="226"/>
      <c r="M76" s="225">
        <f>M53</f>
        <v>2015</v>
      </c>
      <c r="N76" s="225">
        <f t="shared" ref="N76:W76" si="30">N53</f>
        <v>2020</v>
      </c>
      <c r="O76" s="225">
        <f t="shared" si="30"/>
        <v>2030</v>
      </c>
      <c r="P76" s="225">
        <f t="shared" si="30"/>
        <v>2040</v>
      </c>
      <c r="Q76" s="225">
        <f t="shared" si="30"/>
        <v>2050</v>
      </c>
      <c r="S76" s="225">
        <f t="shared" si="30"/>
        <v>2015</v>
      </c>
      <c r="T76" s="225">
        <f t="shared" si="30"/>
        <v>2020</v>
      </c>
      <c r="U76" s="225">
        <f t="shared" si="30"/>
        <v>2030</v>
      </c>
      <c r="V76" s="225">
        <f t="shared" si="30"/>
        <v>2040</v>
      </c>
      <c r="W76" s="225">
        <f t="shared" si="30"/>
        <v>2050</v>
      </c>
    </row>
    <row r="77" spans="1:42">
      <c r="A77" s="225" t="s">
        <v>16</v>
      </c>
      <c r="C77" s="225" t="s">
        <v>83</v>
      </c>
      <c r="D77" s="225" t="s">
        <v>48</v>
      </c>
      <c r="E77" s="273">
        <f>[3]Calib_1011!$H$92</f>
        <v>2.035E-2</v>
      </c>
      <c r="F77" s="66">
        <f t="shared" ref="F77:K77" si="31">F$41*1000*F$35*F$30/F$67/F$64</f>
        <v>0.25414691943127965</v>
      </c>
      <c r="G77" s="66">
        <f t="shared" si="31"/>
        <v>0.25414691943127965</v>
      </c>
      <c r="H77" s="66">
        <f t="shared" si="31"/>
        <v>0.25414691943127965</v>
      </c>
      <c r="I77" s="66">
        <f t="shared" si="31"/>
        <v>0.25414691943127965</v>
      </c>
      <c r="J77" s="66">
        <f t="shared" si="31"/>
        <v>0.25414691943127965</v>
      </c>
      <c r="K77" s="66">
        <f t="shared" si="31"/>
        <v>0.25414691943127965</v>
      </c>
      <c r="L77" s="286"/>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85"/>
      <c r="S77" s="66">
        <f>S$41*1000*S$35*S$30/S$67/S$64</f>
        <v>0.25414691943127965</v>
      </c>
      <c r="T77" s="66">
        <f>T$41*1000*T$35*T$30/T$67/T$64</f>
        <v>0.23510178465639808</v>
      </c>
      <c r="U77" s="66">
        <f>U$41*1000*U$35*U$30/U$67/U$64</f>
        <v>0.21748384466870921</v>
      </c>
      <c r="V77" s="66">
        <f>V$41*1000*V$35*V$30/V$67/V$64</f>
        <v>0.20118614905884774</v>
      </c>
      <c r="W77" s="66">
        <f>W$41*1000*W$35*W$30/W$67/W$64</f>
        <v>0.18610976201375035</v>
      </c>
      <c r="X77" s="285"/>
      <c r="Y77" s="285"/>
      <c r="Z77" s="285"/>
      <c r="AA77" s="285"/>
      <c r="AB77" s="285"/>
      <c r="AC77" s="285"/>
      <c r="AD77" s="285"/>
      <c r="AE77" s="285"/>
      <c r="AF77" s="285"/>
      <c r="AG77" s="285"/>
      <c r="AH77" s="285"/>
      <c r="AI77" s="285"/>
      <c r="AJ77" s="285"/>
      <c r="AK77" s="285"/>
      <c r="AL77" s="285"/>
      <c r="AM77" s="285"/>
      <c r="AN77" s="285"/>
      <c r="AO77" s="285"/>
      <c r="AP77" s="285"/>
    </row>
    <row r="78" spans="1:42">
      <c r="A78" s="225" t="s">
        <v>16</v>
      </c>
      <c r="C78" s="225" t="s">
        <v>63</v>
      </c>
      <c r="D78" s="225" t="s">
        <v>48</v>
      </c>
      <c r="E78" s="34">
        <v>5.0000000000000001E-3</v>
      </c>
      <c r="F78" s="66">
        <f>E78</f>
        <v>5.0000000000000001E-3</v>
      </c>
      <c r="G78" s="66">
        <f>F78</f>
        <v>5.0000000000000001E-3</v>
      </c>
      <c r="H78" s="66">
        <f t="shared" ref="H78:K79" si="32">IF($D$4,T78,N78)</f>
        <v>0.02</v>
      </c>
      <c r="I78" s="66">
        <f t="shared" si="32"/>
        <v>0.05</v>
      </c>
      <c r="J78" s="66">
        <f t="shared" si="32"/>
        <v>0.1</v>
      </c>
      <c r="K78" s="66">
        <f t="shared" si="32"/>
        <v>0.15</v>
      </c>
      <c r="L78" s="286"/>
      <c r="M78" s="274">
        <f>$F78</f>
        <v>5.0000000000000001E-3</v>
      </c>
      <c r="N78" s="35">
        <v>0.02</v>
      </c>
      <c r="O78" s="35">
        <v>0.05</v>
      </c>
      <c r="P78" s="35">
        <v>0.1</v>
      </c>
      <c r="Q78" s="35">
        <v>0.15</v>
      </c>
      <c r="R78" s="285"/>
      <c r="S78" s="274">
        <f>$F78</f>
        <v>5.0000000000000001E-3</v>
      </c>
      <c r="T78" s="35">
        <v>0.02</v>
      </c>
      <c r="U78" s="77">
        <v>7.0000000000000007E-2</v>
      </c>
      <c r="V78" s="77">
        <v>0.15</v>
      </c>
      <c r="W78" s="77">
        <v>0.25</v>
      </c>
      <c r="X78" s="285"/>
      <c r="Y78" s="285"/>
      <c r="Z78" s="285"/>
      <c r="AA78" s="285"/>
      <c r="AB78" s="285"/>
      <c r="AC78" s="285"/>
      <c r="AD78" s="285"/>
      <c r="AE78" s="285"/>
      <c r="AF78" s="285"/>
      <c r="AG78" s="285"/>
      <c r="AH78" s="285"/>
      <c r="AI78" s="285"/>
      <c r="AJ78" s="285"/>
      <c r="AK78" s="285"/>
      <c r="AL78" s="285"/>
      <c r="AM78" s="285"/>
      <c r="AN78" s="285"/>
      <c r="AO78" s="285"/>
      <c r="AP78" s="285"/>
    </row>
    <row r="79" spans="1:42">
      <c r="A79" s="225" t="s">
        <v>16</v>
      </c>
      <c r="C79" s="225" t="s">
        <v>82</v>
      </c>
      <c r="D79" s="225" t="s">
        <v>48</v>
      </c>
      <c r="E79" s="34">
        <v>0</v>
      </c>
      <c r="F79" s="66">
        <f>E79</f>
        <v>0</v>
      </c>
      <c r="G79" s="66">
        <f>F79</f>
        <v>0</v>
      </c>
      <c r="H79" s="66">
        <f t="shared" si="32"/>
        <v>0</v>
      </c>
      <c r="I79" s="66">
        <f t="shared" si="32"/>
        <v>0</v>
      </c>
      <c r="J79" s="66">
        <f t="shared" si="32"/>
        <v>0</v>
      </c>
      <c r="K79" s="66">
        <f t="shared" si="32"/>
        <v>0</v>
      </c>
      <c r="L79" s="286"/>
      <c r="M79" s="274">
        <f>$F79</f>
        <v>0</v>
      </c>
      <c r="N79" s="35">
        <v>0</v>
      </c>
      <c r="O79" s="35">
        <v>0</v>
      </c>
      <c r="P79" s="35">
        <v>0</v>
      </c>
      <c r="Q79" s="35">
        <v>0</v>
      </c>
      <c r="R79" s="285"/>
      <c r="S79" s="274">
        <f>$F79</f>
        <v>0</v>
      </c>
      <c r="T79" s="35">
        <v>0</v>
      </c>
      <c r="U79" s="35">
        <v>0</v>
      </c>
      <c r="V79" s="35">
        <v>0</v>
      </c>
      <c r="W79" s="35">
        <v>0</v>
      </c>
      <c r="X79" s="285"/>
      <c r="Y79" s="285"/>
      <c r="Z79" s="285"/>
      <c r="AA79" s="285"/>
      <c r="AB79" s="285"/>
      <c r="AC79" s="285"/>
      <c r="AD79" s="285"/>
      <c r="AE79" s="285"/>
      <c r="AF79" s="285"/>
      <c r="AG79" s="285"/>
      <c r="AH79" s="285"/>
      <c r="AI79" s="285"/>
      <c r="AJ79" s="285"/>
      <c r="AK79" s="285"/>
      <c r="AL79" s="285"/>
      <c r="AM79" s="285"/>
      <c r="AN79" s="285"/>
      <c r="AO79" s="285"/>
      <c r="AP79" s="285"/>
    </row>
    <row r="80" spans="1:42">
      <c r="A80" s="225" t="s">
        <v>16</v>
      </c>
      <c r="C80" s="225" t="s">
        <v>81</v>
      </c>
      <c r="D80" s="225" t="s">
        <v>48</v>
      </c>
      <c r="E80" s="34">
        <f t="shared" ref="E80:K80" si="33">1-SUM(E77:E79)</f>
        <v>0.97465000000000002</v>
      </c>
      <c r="F80" s="34">
        <f t="shared" si="33"/>
        <v>0.74085308056872035</v>
      </c>
      <c r="G80" s="34">
        <f t="shared" ref="G80" si="34">1-SUM(G77:G79)</f>
        <v>0.74085308056872035</v>
      </c>
      <c r="H80" s="34">
        <f t="shared" si="33"/>
        <v>0.72585308056872033</v>
      </c>
      <c r="I80" s="34">
        <f t="shared" si="33"/>
        <v>0.69585308056872042</v>
      </c>
      <c r="J80" s="34">
        <f t="shared" si="33"/>
        <v>0.64585308056872037</v>
      </c>
      <c r="K80" s="34">
        <f t="shared" si="33"/>
        <v>0.59585308056872033</v>
      </c>
      <c r="L80" s="286"/>
      <c r="M80" s="34">
        <f>1-SUM(M77:M79)</f>
        <v>0.74085308056872035</v>
      </c>
      <c r="N80" s="34">
        <f>1-SUM(N77:N79)</f>
        <v>0.72585308056872033</v>
      </c>
      <c r="O80" s="34">
        <f>1-SUM(O77:O79)</f>
        <v>0.69585308056872042</v>
      </c>
      <c r="P80" s="34">
        <f>1-SUM(P77:P79)</f>
        <v>0.64585308056872037</v>
      </c>
      <c r="Q80" s="34">
        <f>1-SUM(Q77:Q79)</f>
        <v>0.59585308056872033</v>
      </c>
      <c r="R80" s="285"/>
      <c r="S80" s="34">
        <f>1-SUM(S77:S79)</f>
        <v>0.74085308056872035</v>
      </c>
      <c r="T80" s="34">
        <f>1-SUM(T77:T79)</f>
        <v>0.7448982153436019</v>
      </c>
      <c r="U80" s="34">
        <f>1-SUM(U77:U79)</f>
        <v>0.71251615533129076</v>
      </c>
      <c r="V80" s="34">
        <f>1-SUM(V77:V79)</f>
        <v>0.64881385094115229</v>
      </c>
      <c r="W80" s="34">
        <f>1-SUM(W77:W79)</f>
        <v>0.5638902379862496</v>
      </c>
      <c r="X80" s="285"/>
      <c r="Y80" s="285"/>
      <c r="Z80" s="285"/>
      <c r="AA80" s="285"/>
      <c r="AB80" s="285"/>
      <c r="AC80" s="285"/>
      <c r="AD80" s="285"/>
      <c r="AE80" s="285"/>
      <c r="AF80" s="285"/>
      <c r="AG80" s="285"/>
      <c r="AH80" s="285"/>
      <c r="AI80" s="285"/>
      <c r="AJ80" s="285"/>
      <c r="AK80" s="285"/>
      <c r="AL80" s="285"/>
      <c r="AM80" s="285"/>
      <c r="AN80" s="285"/>
      <c r="AO80" s="285"/>
      <c r="AP80" s="285"/>
    </row>
    <row r="81" spans="1:42">
      <c r="A81" s="225" t="s">
        <v>16</v>
      </c>
      <c r="C81" s="39" t="str">
        <f>C55</f>
        <v>Middle Income</v>
      </c>
      <c r="D81" s="225" t="s">
        <v>191</v>
      </c>
      <c r="E81" s="226">
        <f t="shared" ref="E81:K81" si="35">E$26*E$14</f>
        <v>8.4326276306077599</v>
      </c>
      <c r="F81" s="226">
        <f t="shared" si="35"/>
        <v>8.7562081307080231</v>
      </c>
      <c r="G81" s="226">
        <f t="shared" si="35"/>
        <v>9.0121729156558654</v>
      </c>
      <c r="H81" s="226">
        <f t="shared" si="35"/>
        <v>9.8085058035283819</v>
      </c>
      <c r="I81" s="226">
        <f t="shared" si="35"/>
        <v>10.809028917481918</v>
      </c>
      <c r="J81" s="226">
        <f t="shared" si="35"/>
        <v>12.566605806958634</v>
      </c>
      <c r="K81" s="226">
        <f t="shared" si="35"/>
        <v>14.419187662879448</v>
      </c>
      <c r="M81" s="226">
        <f>M$26*M$14</f>
        <v>8.4326276306077599</v>
      </c>
      <c r="N81" s="226">
        <f>N$26*N$14</f>
        <v>9.8085058035283819</v>
      </c>
      <c r="O81" s="226">
        <f>O$26*O$14</f>
        <v>10.809028917481918</v>
      </c>
      <c r="P81" s="226">
        <f>P$26*P$14</f>
        <v>12.566605806958634</v>
      </c>
      <c r="Q81" s="226">
        <f>Q$26*Q$14</f>
        <v>14.419187662879448</v>
      </c>
      <c r="S81" s="226">
        <f>S$26*S$14</f>
        <v>8.4326276306077599</v>
      </c>
      <c r="T81" s="226">
        <f>T$26*T$14</f>
        <v>9.318080513351962</v>
      </c>
      <c r="U81" s="226">
        <f>U$26*U$14</f>
        <v>9.7551485980274286</v>
      </c>
      <c r="V81" s="226">
        <f>V$26*V$14</f>
        <v>10.774293653741156</v>
      </c>
      <c r="W81" s="226">
        <f>W$26*W$14</f>
        <v>11.7445184713382</v>
      </c>
    </row>
    <row r="82" spans="1:42">
      <c r="A82" s="225" t="s">
        <v>16</v>
      </c>
      <c r="C82" s="225" t="str">
        <f>C77</f>
        <v>Priv.veh.</v>
      </c>
      <c r="D82" s="225" t="s">
        <v>48</v>
      </c>
      <c r="E82" s="66">
        <f t="shared" ref="E82:M82" si="36">E$42*1000*E$36*E$31/E$67/E$64</f>
        <v>0.53206565737051803</v>
      </c>
      <c r="F82" s="66">
        <f t="shared" si="36"/>
        <v>0.53206565737051803</v>
      </c>
      <c r="G82" s="66">
        <f t="shared" si="36"/>
        <v>0.53206565737051803</v>
      </c>
      <c r="H82" s="66">
        <f t="shared" si="36"/>
        <v>0.53206565737051803</v>
      </c>
      <c r="I82" s="66">
        <f t="shared" si="36"/>
        <v>0.53206565737051803</v>
      </c>
      <c r="J82" s="66">
        <f t="shared" si="36"/>
        <v>0.53206565737051803</v>
      </c>
      <c r="K82" s="66">
        <f t="shared" si="36"/>
        <v>0.53206565737051803</v>
      </c>
      <c r="L82" s="286"/>
      <c r="M82" s="66">
        <f t="shared" si="36"/>
        <v>0.53206565737051803</v>
      </c>
      <c r="N82" s="66">
        <f>N$42*1000*N$36*N$31/N$67/N$64</f>
        <v>0.53206565737051803</v>
      </c>
      <c r="O82" s="66">
        <f>O$42*1000*O$36*O$31/O$67/O$64</f>
        <v>0.53206565737051803</v>
      </c>
      <c r="P82" s="66">
        <f>P$42*1000*P$36*P$31/P$67/P$64</f>
        <v>0.53206565737051803</v>
      </c>
      <c r="Q82" s="66">
        <f>Q$42*1000*Q$36*Q$31/Q$67/Q$64</f>
        <v>0.53206565737051803</v>
      </c>
      <c r="R82" s="285"/>
      <c r="S82" s="66">
        <f>S$42*1000*S$36*S$31/S$67/S$64</f>
        <v>0.53206565737051803</v>
      </c>
      <c r="T82" s="66">
        <f>T$42*1000*T$36*T$31/T$67/T$64</f>
        <v>0.49219398717131468</v>
      </c>
      <c r="U82" s="66">
        <f>U$42*1000*U$36*U$31/U$67/U$64</f>
        <v>0.45531020025766417</v>
      </c>
      <c r="V82" s="66">
        <f>V$42*1000*V$36*V$31/V$67/V$64</f>
        <v>0.4211903921258553</v>
      </c>
      <c r="W82" s="66">
        <f>W$42*1000*W$36*W$31/W$67/W$64</f>
        <v>0.38962743711592407</v>
      </c>
      <c r="X82" s="285"/>
      <c r="Y82" s="285"/>
      <c r="Z82" s="285"/>
      <c r="AA82" s="285"/>
      <c r="AB82" s="285"/>
      <c r="AC82" s="285"/>
      <c r="AD82" s="285"/>
      <c r="AE82" s="285"/>
      <c r="AF82" s="285"/>
      <c r="AG82" s="285"/>
      <c r="AH82" s="285"/>
      <c r="AI82" s="285"/>
      <c r="AJ82" s="285"/>
      <c r="AK82" s="285"/>
      <c r="AL82" s="285"/>
      <c r="AM82" s="285"/>
      <c r="AN82" s="285"/>
      <c r="AO82" s="285"/>
      <c r="AP82" s="285"/>
    </row>
    <row r="83" spans="1:42">
      <c r="A83" s="225" t="s">
        <v>16</v>
      </c>
      <c r="C83" s="225" t="str">
        <f>C78</f>
        <v>BRT</v>
      </c>
      <c r="D83" s="225" t="s">
        <v>48</v>
      </c>
      <c r="E83" s="285">
        <v>0.01</v>
      </c>
      <c r="F83" s="66">
        <f>E83</f>
        <v>0.01</v>
      </c>
      <c r="G83" s="66">
        <f>F83</f>
        <v>0.01</v>
      </c>
      <c r="H83" s="66">
        <f t="shared" ref="H83:K84" si="37">IF($D$4,T83,N83)</f>
        <v>0.02</v>
      </c>
      <c r="I83" s="66">
        <f t="shared" si="37"/>
        <v>0.05</v>
      </c>
      <c r="J83" s="66">
        <f t="shared" si="37"/>
        <v>0.1</v>
      </c>
      <c r="K83" s="66">
        <f t="shared" si="37"/>
        <v>0.15</v>
      </c>
      <c r="L83" s="286"/>
      <c r="M83" s="274">
        <f>$F83</f>
        <v>0.01</v>
      </c>
      <c r="N83" s="35">
        <v>0.02</v>
      </c>
      <c r="O83" s="35">
        <v>0.05</v>
      </c>
      <c r="P83" s="35">
        <v>0.1</v>
      </c>
      <c r="Q83" s="35">
        <v>0.15</v>
      </c>
      <c r="R83" s="285"/>
      <c r="S83" s="274">
        <f>$F83</f>
        <v>0.01</v>
      </c>
      <c r="T83" s="35">
        <v>0.02</v>
      </c>
      <c r="U83" s="77">
        <v>7.0000000000000007E-2</v>
      </c>
      <c r="V83" s="77">
        <v>0.15</v>
      </c>
      <c r="W83" s="77">
        <v>0.25</v>
      </c>
      <c r="X83" s="285"/>
      <c r="Y83" s="285"/>
      <c r="Z83" s="285"/>
      <c r="AA83" s="285"/>
      <c r="AB83" s="285"/>
      <c r="AC83" s="285"/>
      <c r="AD83" s="285"/>
      <c r="AE83" s="285"/>
      <c r="AF83" s="285"/>
      <c r="AG83" s="285"/>
      <c r="AH83" s="285"/>
      <c r="AI83" s="285"/>
      <c r="AJ83" s="285"/>
      <c r="AK83" s="285"/>
      <c r="AL83" s="285"/>
      <c r="AM83" s="285"/>
      <c r="AN83" s="285"/>
      <c r="AO83" s="285"/>
      <c r="AP83" s="285"/>
    </row>
    <row r="84" spans="1:42">
      <c r="A84" s="225" t="s">
        <v>16</v>
      </c>
      <c r="C84" s="225" t="str">
        <f>C79</f>
        <v>Gautrain</v>
      </c>
      <c r="D84" s="225" t="s">
        <v>48</v>
      </c>
      <c r="E84" s="287">
        <v>2E-3</v>
      </c>
      <c r="F84" s="161">
        <f>E84</f>
        <v>2E-3</v>
      </c>
      <c r="G84" s="161">
        <f>F84</f>
        <v>2E-3</v>
      </c>
      <c r="H84" s="161">
        <f t="shared" si="37"/>
        <v>2E-3</v>
      </c>
      <c r="I84" s="161">
        <f t="shared" si="37"/>
        <v>2E-3</v>
      </c>
      <c r="J84" s="161">
        <f t="shared" si="37"/>
        <v>2E-3</v>
      </c>
      <c r="K84" s="161">
        <f t="shared" si="37"/>
        <v>2E-3</v>
      </c>
      <c r="L84" s="286"/>
      <c r="M84" s="274">
        <f>$F84</f>
        <v>2E-3</v>
      </c>
      <c r="N84" s="50">
        <v>2E-3</v>
      </c>
      <c r="O84" s="50">
        <f>N84</f>
        <v>2E-3</v>
      </c>
      <c r="P84" s="50">
        <f>O84</f>
        <v>2E-3</v>
      </c>
      <c r="Q84" s="50">
        <f>P84</f>
        <v>2E-3</v>
      </c>
      <c r="R84" s="285"/>
      <c r="S84" s="274">
        <f>$F84</f>
        <v>2E-3</v>
      </c>
      <c r="T84" s="50">
        <v>2E-3</v>
      </c>
      <c r="U84" s="79">
        <v>0.01</v>
      </c>
      <c r="V84" s="79">
        <v>0.02</v>
      </c>
      <c r="W84" s="79">
        <v>0.03</v>
      </c>
      <c r="X84" s="285"/>
      <c r="Y84" s="285"/>
      <c r="Z84" s="285"/>
      <c r="AA84" s="285"/>
      <c r="AB84" s="285"/>
      <c r="AC84" s="285"/>
      <c r="AD84" s="285"/>
      <c r="AE84" s="285"/>
      <c r="AF84" s="285"/>
      <c r="AG84" s="285"/>
      <c r="AH84" s="285"/>
      <c r="AI84" s="285"/>
      <c r="AJ84" s="285"/>
      <c r="AK84" s="285"/>
      <c r="AL84" s="285"/>
      <c r="AM84" s="285"/>
      <c r="AN84" s="285"/>
      <c r="AO84" s="285"/>
      <c r="AP84" s="285"/>
    </row>
    <row r="85" spans="1:42">
      <c r="A85" s="225" t="s">
        <v>16</v>
      </c>
      <c r="C85" s="225" t="str">
        <f>C80</f>
        <v>Bus, minibus, metro rail</v>
      </c>
      <c r="D85" s="225" t="s">
        <v>48</v>
      </c>
      <c r="E85" s="34">
        <f t="shared" ref="E85:K85" si="38">1-SUM(E82:E84)</f>
        <v>0.45593434262948196</v>
      </c>
      <c r="F85" s="34">
        <f t="shared" si="38"/>
        <v>0.45593434262948196</v>
      </c>
      <c r="G85" s="34">
        <f t="shared" ref="G85" si="39">1-SUM(G82:G84)</f>
        <v>0.45593434262948196</v>
      </c>
      <c r="H85" s="34">
        <f t="shared" si="38"/>
        <v>0.44593434262948195</v>
      </c>
      <c r="I85" s="34">
        <f t="shared" si="38"/>
        <v>0.41593434262948192</v>
      </c>
      <c r="J85" s="34">
        <f t="shared" si="38"/>
        <v>0.36593434262948199</v>
      </c>
      <c r="K85" s="34">
        <f t="shared" si="38"/>
        <v>0.31593434262948195</v>
      </c>
      <c r="L85" s="286"/>
      <c r="M85" s="34">
        <f>1-SUM(M82:M84)</f>
        <v>0.45593434262948196</v>
      </c>
      <c r="N85" s="34">
        <f>1-SUM(N82:N84)</f>
        <v>0.44593434262948195</v>
      </c>
      <c r="O85" s="34">
        <f>1-SUM(O82:O84)</f>
        <v>0.41593434262948192</v>
      </c>
      <c r="P85" s="34">
        <f>1-SUM(P82:P84)</f>
        <v>0.36593434262948199</v>
      </c>
      <c r="Q85" s="34">
        <f>1-SUM(Q82:Q84)</f>
        <v>0.31593434262948195</v>
      </c>
      <c r="R85" s="285"/>
      <c r="S85" s="34">
        <f>1-SUM(S82:S84)</f>
        <v>0.45593434262948196</v>
      </c>
      <c r="T85" s="34">
        <f>1-SUM(T82:T84)</f>
        <v>0.4858060128286853</v>
      </c>
      <c r="U85" s="34">
        <f>1-SUM(U82:U84)</f>
        <v>0.46468979974233582</v>
      </c>
      <c r="V85" s="34">
        <f>1-SUM(V82:V84)</f>
        <v>0.40880960787414466</v>
      </c>
      <c r="W85" s="34">
        <f>1-SUM(W82:W84)</f>
        <v>0.3303725628840759</v>
      </c>
      <c r="X85" s="285"/>
      <c r="Y85" s="285"/>
      <c r="Z85" s="285"/>
      <c r="AA85" s="285"/>
      <c r="AB85" s="285"/>
      <c r="AC85" s="285"/>
      <c r="AD85" s="285"/>
      <c r="AE85" s="285"/>
      <c r="AF85" s="285"/>
      <c r="AG85" s="285"/>
      <c r="AH85" s="285"/>
      <c r="AI85" s="285"/>
      <c r="AJ85" s="285"/>
      <c r="AK85" s="285"/>
      <c r="AL85" s="285"/>
      <c r="AM85" s="285"/>
      <c r="AN85" s="285"/>
      <c r="AO85" s="285"/>
      <c r="AP85" s="285"/>
    </row>
    <row r="86" spans="1:42">
      <c r="A86" s="225" t="s">
        <v>16</v>
      </c>
      <c r="C86" s="39" t="str">
        <f>C56</f>
        <v>High Income</v>
      </c>
      <c r="D86" s="225" t="s">
        <v>191</v>
      </c>
      <c r="E86" s="226">
        <f t="shared" ref="E86:M86" si="40">E$27*E$15</f>
        <v>8.3109962552949082</v>
      </c>
      <c r="F86" s="226">
        <f t="shared" si="40"/>
        <v>9.1963541959896222</v>
      </c>
      <c r="G86" s="226">
        <f t="shared" si="40"/>
        <v>9.7416095693099081</v>
      </c>
      <c r="H86" s="226">
        <f t="shared" si="40"/>
        <v>9.0619721991940985</v>
      </c>
      <c r="I86" s="226">
        <f t="shared" si="40"/>
        <v>12.459728904845296</v>
      </c>
      <c r="J86" s="226">
        <f t="shared" si="40"/>
        <v>17.108371131535147</v>
      </c>
      <c r="K86" s="226">
        <f t="shared" si="40"/>
        <v>22.32231076691215</v>
      </c>
      <c r="M86" s="226">
        <f t="shared" si="40"/>
        <v>8.3109962552949082</v>
      </c>
      <c r="N86" s="226">
        <f>N$27*N$15</f>
        <v>9.0619721991940985</v>
      </c>
      <c r="O86" s="226">
        <f>O$27*O$15</f>
        <v>12.459728904845296</v>
      </c>
      <c r="P86" s="226">
        <f>P$27*P$15</f>
        <v>17.108371131535147</v>
      </c>
      <c r="Q86" s="226">
        <f>Q$27*Q$15</f>
        <v>22.32231076691215</v>
      </c>
      <c r="S86" s="226">
        <f>S$27*S$15</f>
        <v>8.3109962552949082</v>
      </c>
      <c r="T86" s="226">
        <f>T$27*T$15</f>
        <v>8.8354228942142452</v>
      </c>
      <c r="U86" s="226">
        <f>U$27*U$15</f>
        <v>11.84452979016856</v>
      </c>
      <c r="V86" s="226">
        <f>V$27*V$15</f>
        <v>15.857054174242709</v>
      </c>
      <c r="W86" s="226">
        <f>W$27*W$15</f>
        <v>20.172401930826563</v>
      </c>
    </row>
    <row r="87" spans="1:42">
      <c r="A87" s="225" t="s">
        <v>16</v>
      </c>
      <c r="C87" s="225" t="str">
        <f>C82</f>
        <v>Priv.veh.</v>
      </c>
      <c r="D87" s="225" t="s">
        <v>48</v>
      </c>
      <c r="E87" s="66">
        <f t="shared" ref="E87:M87" si="41">E$43*1000*E$37*E$32/E$67/E$64</f>
        <v>0.81893071119533589</v>
      </c>
      <c r="F87" s="66">
        <f t="shared" si="41"/>
        <v>0.81893071119533589</v>
      </c>
      <c r="G87" s="66">
        <f t="shared" si="41"/>
        <v>0.80914826242679105</v>
      </c>
      <c r="H87" s="66">
        <f t="shared" si="41"/>
        <v>0.80914826242679105</v>
      </c>
      <c r="I87" s="66">
        <f t="shared" si="41"/>
        <v>0.84105016524648524</v>
      </c>
      <c r="J87" s="66">
        <f t="shared" si="41"/>
        <v>0.89056964538270056</v>
      </c>
      <c r="K87" s="66">
        <f t="shared" si="41"/>
        <v>0.95079983842611049</v>
      </c>
      <c r="L87" s="286"/>
      <c r="M87" s="66">
        <f t="shared" si="41"/>
        <v>0.81893071119533589</v>
      </c>
      <c r="N87" s="66">
        <f>N$43*1000*N$37*N$32/N$67/N$64</f>
        <v>0.80914826242679105</v>
      </c>
      <c r="O87" s="66">
        <f>O$43*1000*O$37*O$32/O$67/O$64</f>
        <v>0.84105016524648524</v>
      </c>
      <c r="P87" s="66">
        <f>P$43*1000*P$37*P$32/P$67/P$64</f>
        <v>0.89056964538270056</v>
      </c>
      <c r="Q87" s="66">
        <f>Q$43*1000*Q$37*Q$32/Q$67/Q$64</f>
        <v>0.95079983842611049</v>
      </c>
      <c r="R87" s="285"/>
      <c r="S87" s="66">
        <f>S$43*1000*S$37*S$32/S$67/S$64</f>
        <v>0.81893071119533589</v>
      </c>
      <c r="T87" s="66">
        <f>T$43*1000*T$37*T$32/T$67/T$64</f>
        <v>0.7774979355257966</v>
      </c>
      <c r="U87" s="66">
        <f>U$43*1000*U$37*U$32/U$67/U$64</f>
        <v>0.73816139935028846</v>
      </c>
      <c r="V87" s="66">
        <f>V$43*1000*V$37*V$32/V$67/V$64</f>
        <v>0.7008150460519097</v>
      </c>
      <c r="W87" s="66">
        <f>W$43*1000*W$37*W$32/W$67/W$64</f>
        <v>0.66535818481572073</v>
      </c>
      <c r="X87" s="285"/>
      <c r="Y87" s="285"/>
      <c r="Z87" s="285"/>
      <c r="AA87" s="285"/>
      <c r="AB87" s="285"/>
      <c r="AC87" s="285"/>
      <c r="AD87" s="285"/>
      <c r="AE87" s="285"/>
      <c r="AF87" s="285"/>
      <c r="AG87" s="285"/>
      <c r="AH87" s="285"/>
      <c r="AI87" s="285"/>
      <c r="AJ87" s="285"/>
      <c r="AK87" s="285"/>
      <c r="AL87" s="285"/>
      <c r="AM87" s="285"/>
      <c r="AN87" s="285"/>
      <c r="AO87" s="285"/>
      <c r="AP87" s="285"/>
    </row>
    <row r="88" spans="1:42">
      <c r="A88" s="225" t="s">
        <v>16</v>
      </c>
      <c r="C88" s="225" t="str">
        <f>C83</f>
        <v>BRT</v>
      </c>
      <c r="D88" s="225" t="s">
        <v>48</v>
      </c>
      <c r="E88" s="285">
        <v>0</v>
      </c>
      <c r="F88" s="66">
        <f>E88</f>
        <v>0</v>
      </c>
      <c r="G88" s="66">
        <f>F88</f>
        <v>0</v>
      </c>
      <c r="H88" s="66">
        <f t="shared" ref="H88:K89" si="42">IF($D$4,T88,N88)</f>
        <v>0.02</v>
      </c>
      <c r="I88" s="66">
        <f t="shared" si="42"/>
        <v>0.03</v>
      </c>
      <c r="J88" s="66">
        <f t="shared" si="42"/>
        <v>3.5000000000000003E-2</v>
      </c>
      <c r="K88" s="66">
        <f t="shared" si="42"/>
        <v>0.04</v>
      </c>
      <c r="L88" s="286"/>
      <c r="M88" s="274">
        <f>$F88</f>
        <v>0</v>
      </c>
      <c r="N88" s="35">
        <v>0.02</v>
      </c>
      <c r="O88" s="35">
        <v>0.03</v>
      </c>
      <c r="P88" s="35">
        <v>3.5000000000000003E-2</v>
      </c>
      <c r="Q88" s="35">
        <v>0.04</v>
      </c>
      <c r="R88" s="285"/>
      <c r="S88" s="274">
        <f>$F88</f>
        <v>0</v>
      </c>
      <c r="T88" s="35">
        <v>0.02</v>
      </c>
      <c r="U88" s="77">
        <v>0.03</v>
      </c>
      <c r="V88" s="77">
        <v>0.05</v>
      </c>
      <c r="W88" s="77">
        <v>0.1</v>
      </c>
      <c r="X88" s="285"/>
      <c r="Y88" s="285"/>
      <c r="Z88" s="285"/>
      <c r="AA88" s="285"/>
      <c r="AB88" s="285"/>
      <c r="AC88" s="285"/>
      <c r="AD88" s="285"/>
      <c r="AE88" s="285"/>
      <c r="AF88" s="285"/>
      <c r="AG88" s="285"/>
      <c r="AH88" s="285"/>
      <c r="AI88" s="285"/>
      <c r="AJ88" s="285"/>
      <c r="AK88" s="285"/>
      <c r="AL88" s="285"/>
      <c r="AM88" s="285"/>
      <c r="AN88" s="285"/>
      <c r="AO88" s="285"/>
      <c r="AP88" s="285"/>
    </row>
    <row r="89" spans="1:42">
      <c r="A89" s="225" t="s">
        <v>16</v>
      </c>
      <c r="C89" s="225" t="str">
        <f>C84</f>
        <v>Gautrain</v>
      </c>
      <c r="D89" s="225" t="s">
        <v>48</v>
      </c>
      <c r="E89" s="285">
        <v>5.0000000000000001E-3</v>
      </c>
      <c r="F89" s="66">
        <f>E89</f>
        <v>5.0000000000000001E-3</v>
      </c>
      <c r="G89" s="66">
        <f>F89</f>
        <v>5.0000000000000001E-3</v>
      </c>
      <c r="H89" s="66">
        <f t="shared" si="42"/>
        <v>5.0000000000000001E-3</v>
      </c>
      <c r="I89" s="66">
        <f t="shared" si="42"/>
        <v>5.0000000000000001E-3</v>
      </c>
      <c r="J89" s="66">
        <f t="shared" si="42"/>
        <v>5.0000000000000001E-3</v>
      </c>
      <c r="K89" s="66">
        <f t="shared" si="42"/>
        <v>5.0000000000000001E-3</v>
      </c>
      <c r="L89" s="286"/>
      <c r="M89" s="274">
        <f>$F89</f>
        <v>5.0000000000000001E-3</v>
      </c>
      <c r="N89" s="50">
        <v>5.0000000000000001E-3</v>
      </c>
      <c r="O89" s="50">
        <f>N89</f>
        <v>5.0000000000000001E-3</v>
      </c>
      <c r="P89" s="50">
        <f>O89</f>
        <v>5.0000000000000001E-3</v>
      </c>
      <c r="Q89" s="50">
        <f>P89</f>
        <v>5.0000000000000001E-3</v>
      </c>
      <c r="R89" s="285"/>
      <c r="S89" s="274">
        <f>$F89</f>
        <v>5.0000000000000001E-3</v>
      </c>
      <c r="T89" s="50">
        <v>5.0000000000000001E-3</v>
      </c>
      <c r="U89" s="79">
        <v>0.01</v>
      </c>
      <c r="V89" s="79">
        <v>0.03</v>
      </c>
      <c r="W89" s="79">
        <v>0.05</v>
      </c>
      <c r="X89" s="285"/>
      <c r="Y89" s="285"/>
      <c r="Z89" s="285"/>
      <c r="AA89" s="285"/>
      <c r="AB89" s="285"/>
      <c r="AC89" s="285"/>
      <c r="AD89" s="285"/>
      <c r="AE89" s="285"/>
      <c r="AF89" s="285"/>
      <c r="AG89" s="285"/>
      <c r="AH89" s="285"/>
      <c r="AI89" s="285"/>
      <c r="AJ89" s="285"/>
      <c r="AK89" s="285"/>
      <c r="AL89" s="285"/>
      <c r="AM89" s="285"/>
      <c r="AN89" s="285"/>
      <c r="AO89" s="285"/>
      <c r="AP89" s="285"/>
    </row>
    <row r="90" spans="1:42">
      <c r="A90" s="225" t="s">
        <v>16</v>
      </c>
      <c r="C90" s="225" t="str">
        <f>C85</f>
        <v>Bus, minibus, metro rail</v>
      </c>
      <c r="D90" s="225" t="s">
        <v>48</v>
      </c>
      <c r="E90" s="34">
        <f t="shared" ref="E90:K90" si="43">1-SUM(E87:E89)</f>
        <v>0.1760692888046641</v>
      </c>
      <c r="F90" s="34">
        <f t="shared" si="43"/>
        <v>0.1760692888046641</v>
      </c>
      <c r="G90" s="34">
        <f t="shared" ref="G90" si="44">1-SUM(G87:G89)</f>
        <v>0.18585173757320894</v>
      </c>
      <c r="H90" s="34">
        <f t="shared" si="43"/>
        <v>0.16585173757320892</v>
      </c>
      <c r="I90" s="34">
        <f t="shared" si="43"/>
        <v>0.12394983475351473</v>
      </c>
      <c r="J90" s="34">
        <f t="shared" si="43"/>
        <v>6.9430354617299406E-2</v>
      </c>
      <c r="K90" s="34">
        <f t="shared" si="43"/>
        <v>4.2001615738894715E-3</v>
      </c>
      <c r="L90" s="286"/>
      <c r="M90" s="274">
        <f>$F90</f>
        <v>0.1760692888046641</v>
      </c>
      <c r="N90" s="34">
        <f>1-SUM(N87:N89)</f>
        <v>0.16585173757320892</v>
      </c>
      <c r="O90" s="34">
        <f>1-SUM(O87:O89)</f>
        <v>0.12394983475351473</v>
      </c>
      <c r="P90" s="34">
        <f>1-SUM(P87:P89)</f>
        <v>6.9430354617299406E-2</v>
      </c>
      <c r="Q90" s="34">
        <f>1-SUM(Q87:Q89)</f>
        <v>4.2001615738894715E-3</v>
      </c>
      <c r="R90" s="285"/>
      <c r="S90" s="274">
        <f>$F90</f>
        <v>0.1760692888046641</v>
      </c>
      <c r="T90" s="34">
        <f>1-SUM(T87:T89)</f>
        <v>0.19750206447420338</v>
      </c>
      <c r="U90" s="34">
        <f>1-SUM(U87:U89)</f>
        <v>0.2218386006497115</v>
      </c>
      <c r="V90" s="34">
        <f>1-SUM(V87:V89)</f>
        <v>0.21918495394809023</v>
      </c>
      <c r="W90" s="34">
        <f>1-SUM(W87:W89)</f>
        <v>0.18464181518427925</v>
      </c>
      <c r="X90" s="285"/>
      <c r="Y90" s="285"/>
      <c r="Z90" s="285"/>
      <c r="AA90" s="285"/>
      <c r="AB90" s="285"/>
      <c r="AC90" s="285"/>
      <c r="AD90" s="285"/>
      <c r="AE90" s="285"/>
      <c r="AF90" s="285"/>
      <c r="AG90" s="285"/>
      <c r="AH90" s="285"/>
      <c r="AI90" s="285"/>
      <c r="AJ90" s="285"/>
      <c r="AK90" s="285"/>
      <c r="AL90" s="285"/>
      <c r="AM90" s="285"/>
      <c r="AN90" s="285"/>
      <c r="AO90" s="285"/>
      <c r="AP90" s="285"/>
    </row>
    <row r="91" spans="1:42">
      <c r="A91" s="225" t="s">
        <v>16</v>
      </c>
      <c r="C91" s="271"/>
      <c r="E91" s="275"/>
      <c r="F91" s="275"/>
      <c r="G91" s="275"/>
      <c r="H91" s="275"/>
      <c r="I91" s="275"/>
      <c r="J91" s="275"/>
      <c r="K91" s="275"/>
      <c r="N91" s="275"/>
      <c r="O91" s="275"/>
      <c r="P91" s="275"/>
      <c r="Q91" s="275"/>
      <c r="T91" s="275"/>
      <c r="U91" s="275"/>
      <c r="V91" s="275"/>
      <c r="W91" s="275"/>
    </row>
    <row r="92" spans="1:42">
      <c r="A92" s="225" t="s">
        <v>16</v>
      </c>
      <c r="C92" s="75" t="s">
        <v>193</v>
      </c>
      <c r="E92" s="7"/>
      <c r="F92" s="7"/>
      <c r="G92" s="7"/>
      <c r="H92" s="7"/>
      <c r="I92" s="7"/>
      <c r="J92" s="7"/>
      <c r="K92" s="7"/>
      <c r="N92" s="7"/>
      <c r="O92" s="7"/>
      <c r="P92" s="7"/>
      <c r="Q92" s="7"/>
      <c r="T92" s="7"/>
      <c r="U92" s="7"/>
      <c r="V92" s="7"/>
      <c r="W92" s="7"/>
    </row>
    <row r="93" spans="1:42">
      <c r="A93" s="225" t="s">
        <v>16</v>
      </c>
      <c r="C93" s="39" t="str">
        <f>C75</f>
        <v>Low Income</v>
      </c>
      <c r="D93" s="225" t="s">
        <v>191</v>
      </c>
      <c r="E93" s="226">
        <f t="shared" ref="E93:M93" si="45">(1-E$25)*E$13</f>
        <v>25.987343012564793</v>
      </c>
      <c r="F93" s="226">
        <f t="shared" si="45"/>
        <v>25.71086163029204</v>
      </c>
      <c r="G93" s="226">
        <f t="shared" si="45"/>
        <v>25.603431018606141</v>
      </c>
      <c r="H93" s="226">
        <f t="shared" si="45"/>
        <v>26.552667503841963</v>
      </c>
      <c r="I93" s="226">
        <f t="shared" si="45"/>
        <v>25.984416110450749</v>
      </c>
      <c r="J93" s="226">
        <f t="shared" si="45"/>
        <v>22.588511192883498</v>
      </c>
      <c r="K93" s="226">
        <f t="shared" si="45"/>
        <v>19.119600023721652</v>
      </c>
      <c r="M93" s="226">
        <f t="shared" si="45"/>
        <v>25.987343012564793</v>
      </c>
      <c r="N93" s="226">
        <f>(1-N$25)*N$13</f>
        <v>26.552667503841963</v>
      </c>
      <c r="O93" s="226">
        <f>(1-O$25)*O$13</f>
        <v>25.984416110450749</v>
      </c>
      <c r="P93" s="226">
        <f>(1-P$25)*P$13</f>
        <v>22.588511192883498</v>
      </c>
      <c r="Q93" s="226">
        <f>(1-Q$25)*Q$13</f>
        <v>19.119600023721652</v>
      </c>
      <c r="S93" s="226">
        <f>(1-S$25)*S$13</f>
        <v>25.987343012564793</v>
      </c>
      <c r="T93" s="226">
        <f>(1-T$25)*T$13</f>
        <v>25.468885156746371</v>
      </c>
      <c r="U93" s="226">
        <f>(1-U$25)*U$13</f>
        <v>25.18897480094715</v>
      </c>
      <c r="V93" s="226">
        <f>(1-V$25)*V$13</f>
        <v>22.127521168538937</v>
      </c>
      <c r="W93" s="226">
        <f>(1-W$25)*W$13</f>
        <v>18.729404104870188</v>
      </c>
    </row>
    <row r="94" spans="1:42">
      <c r="A94" s="225" t="s">
        <v>16</v>
      </c>
      <c r="C94" s="225" t="s">
        <v>63</v>
      </c>
      <c r="D94" s="225" t="s">
        <v>48</v>
      </c>
      <c r="E94" s="34">
        <v>0</v>
      </c>
      <c r="F94" s="66">
        <f>E94</f>
        <v>0</v>
      </c>
      <c r="G94" s="66">
        <f>F94</f>
        <v>0</v>
      </c>
      <c r="H94" s="66">
        <f t="shared" ref="H94:K95" si="46">IF($D$4,T94,N94)</f>
        <v>0.02</v>
      </c>
      <c r="I94" s="66">
        <f t="shared" si="46"/>
        <v>0.05</v>
      </c>
      <c r="J94" s="66">
        <f t="shared" si="46"/>
        <v>0.1</v>
      </c>
      <c r="K94" s="66">
        <f t="shared" si="46"/>
        <v>0.15</v>
      </c>
      <c r="L94" s="286"/>
      <c r="M94" s="274">
        <f>$F94</f>
        <v>0</v>
      </c>
      <c r="N94" s="35">
        <v>0.02</v>
      </c>
      <c r="O94" s="35">
        <v>0.05</v>
      </c>
      <c r="P94" s="35">
        <v>0.1</v>
      </c>
      <c r="Q94" s="35">
        <v>0.15</v>
      </c>
      <c r="R94" s="285"/>
      <c r="S94" s="274">
        <f>$F94</f>
        <v>0</v>
      </c>
      <c r="T94" s="35">
        <v>0.02</v>
      </c>
      <c r="U94" s="77">
        <f>U78</f>
        <v>7.0000000000000007E-2</v>
      </c>
      <c r="V94" s="77">
        <v>0.2</v>
      </c>
      <c r="W94" s="77">
        <v>0.4</v>
      </c>
      <c r="X94" s="285"/>
      <c r="Y94" s="285"/>
      <c r="Z94" s="285"/>
      <c r="AA94" s="285"/>
      <c r="AB94" s="285"/>
      <c r="AC94" s="285"/>
      <c r="AD94" s="285"/>
      <c r="AE94" s="285"/>
      <c r="AF94" s="285"/>
      <c r="AG94" s="285"/>
      <c r="AH94" s="285"/>
      <c r="AI94" s="285"/>
      <c r="AJ94" s="285"/>
      <c r="AK94" s="285"/>
      <c r="AL94" s="285"/>
      <c r="AM94" s="285"/>
      <c r="AN94" s="285"/>
      <c r="AO94" s="285"/>
      <c r="AP94" s="285"/>
    </row>
    <row r="95" spans="1:42">
      <c r="A95" s="225" t="s">
        <v>16</v>
      </c>
      <c r="C95" s="225" t="s">
        <v>82</v>
      </c>
      <c r="D95" s="225" t="s">
        <v>48</v>
      </c>
      <c r="E95" s="34">
        <v>0</v>
      </c>
      <c r="F95" s="66">
        <f>E95</f>
        <v>0</v>
      </c>
      <c r="G95" s="66">
        <f>F95</f>
        <v>0</v>
      </c>
      <c r="H95" s="66">
        <f t="shared" si="46"/>
        <v>0</v>
      </c>
      <c r="I95" s="66">
        <f t="shared" si="46"/>
        <v>0</v>
      </c>
      <c r="J95" s="66">
        <f t="shared" si="46"/>
        <v>0</v>
      </c>
      <c r="K95" s="66">
        <f t="shared" si="46"/>
        <v>0</v>
      </c>
      <c r="L95" s="286"/>
      <c r="M95" s="274">
        <f>$F95</f>
        <v>0</v>
      </c>
      <c r="N95" s="35">
        <v>0</v>
      </c>
      <c r="O95" s="35">
        <v>0</v>
      </c>
      <c r="P95" s="35">
        <v>0</v>
      </c>
      <c r="Q95" s="35">
        <v>0</v>
      </c>
      <c r="R95" s="285"/>
      <c r="S95" s="274">
        <f>$F95</f>
        <v>0</v>
      </c>
      <c r="T95" s="35">
        <v>0</v>
      </c>
      <c r="U95" s="35">
        <v>0</v>
      </c>
      <c r="V95" s="35">
        <v>0</v>
      </c>
      <c r="W95" s="35">
        <v>0</v>
      </c>
      <c r="X95" s="285"/>
      <c r="Y95" s="285"/>
      <c r="Z95" s="285"/>
      <c r="AA95" s="285"/>
      <c r="AB95" s="285"/>
      <c r="AC95" s="285"/>
      <c r="AD95" s="285"/>
      <c r="AE95" s="285"/>
      <c r="AF95" s="285"/>
      <c r="AG95" s="285"/>
      <c r="AH95" s="285"/>
      <c r="AI95" s="285"/>
      <c r="AJ95" s="285"/>
      <c r="AK95" s="285"/>
      <c r="AL95" s="285"/>
      <c r="AM95" s="285"/>
      <c r="AN95" s="285"/>
      <c r="AO95" s="285"/>
      <c r="AP95" s="285"/>
    </row>
    <row r="96" spans="1:42">
      <c r="A96" s="225" t="s">
        <v>16</v>
      </c>
      <c r="C96" s="225" t="s">
        <v>81</v>
      </c>
      <c r="D96" s="225" t="s">
        <v>48</v>
      </c>
      <c r="E96" s="34">
        <f t="shared" ref="E96:K96" si="47">1-SUM(E94:E95)</f>
        <v>1</v>
      </c>
      <c r="F96" s="34">
        <f t="shared" si="47"/>
        <v>1</v>
      </c>
      <c r="G96" s="34">
        <f t="shared" ref="G96" si="48">1-SUM(G94:G95)</f>
        <v>1</v>
      </c>
      <c r="H96" s="34">
        <f t="shared" si="47"/>
        <v>0.98</v>
      </c>
      <c r="I96" s="34">
        <f t="shared" si="47"/>
        <v>0.95</v>
      </c>
      <c r="J96" s="34">
        <f t="shared" si="47"/>
        <v>0.9</v>
      </c>
      <c r="K96" s="34">
        <f t="shared" si="47"/>
        <v>0.85</v>
      </c>
      <c r="L96" s="286"/>
      <c r="M96" s="34">
        <f>1-SUM(M94:M95)</f>
        <v>1</v>
      </c>
      <c r="N96" s="34">
        <f>1-SUM(N94:N95)</f>
        <v>0.98</v>
      </c>
      <c r="O96" s="34">
        <f>1-SUM(O94:O95)</f>
        <v>0.95</v>
      </c>
      <c r="P96" s="34">
        <f>1-SUM(P94:P95)</f>
        <v>0.9</v>
      </c>
      <c r="Q96" s="34">
        <f>1-SUM(Q94:Q95)</f>
        <v>0.85</v>
      </c>
      <c r="R96" s="285"/>
      <c r="S96" s="34">
        <f>1-SUM(S94:S95)</f>
        <v>1</v>
      </c>
      <c r="T96" s="34">
        <f>1-SUM(T94:T95)</f>
        <v>0.98</v>
      </c>
      <c r="U96" s="34">
        <f>1-SUM(U94:U95)</f>
        <v>0.92999999999999994</v>
      </c>
      <c r="V96" s="34">
        <f>1-SUM(V94:V95)</f>
        <v>0.8</v>
      </c>
      <c r="W96" s="34">
        <f>1-SUM(W94:W95)</f>
        <v>0.6</v>
      </c>
      <c r="X96" s="285"/>
      <c r="Y96" s="285"/>
      <c r="Z96" s="285"/>
      <c r="AA96" s="285"/>
      <c r="AB96" s="285"/>
      <c r="AC96" s="285"/>
      <c r="AD96" s="285"/>
      <c r="AE96" s="285"/>
      <c r="AF96" s="285"/>
      <c r="AG96" s="285"/>
      <c r="AH96" s="285"/>
      <c r="AI96" s="285"/>
      <c r="AJ96" s="285"/>
      <c r="AK96" s="285"/>
      <c r="AL96" s="285"/>
      <c r="AM96" s="285"/>
      <c r="AN96" s="285"/>
      <c r="AO96" s="285"/>
      <c r="AP96" s="285"/>
    </row>
    <row r="97" spans="1:42">
      <c r="A97" s="225" t="s">
        <v>16</v>
      </c>
      <c r="C97" s="39" t="str">
        <f>C81</f>
        <v>Middle Income</v>
      </c>
      <c r="D97" s="225" t="s">
        <v>191</v>
      </c>
      <c r="E97" s="226">
        <f t="shared" ref="E97:M97" si="49">(1-E$26)*E$14</f>
        <v>7.4779905403502775</v>
      </c>
      <c r="F97" s="226">
        <f t="shared" si="49"/>
        <v>7.7649392857222086</v>
      </c>
      <c r="G97" s="226">
        <f t="shared" si="49"/>
        <v>7.9919269252042566</v>
      </c>
      <c r="H97" s="226">
        <f t="shared" si="49"/>
        <v>8.6981089201100747</v>
      </c>
      <c r="I97" s="226">
        <f t="shared" si="49"/>
        <v>9.5853652664462281</v>
      </c>
      <c r="J97" s="226">
        <f t="shared" si="49"/>
        <v>11.143971187302938</v>
      </c>
      <c r="K97" s="226">
        <f t="shared" si="49"/>
        <v>12.786826795383661</v>
      </c>
      <c r="M97" s="226">
        <f t="shared" si="49"/>
        <v>7.4779905403502775</v>
      </c>
      <c r="N97" s="226">
        <f>(1-N$26)*N$14</f>
        <v>8.6981089201100747</v>
      </c>
      <c r="O97" s="226">
        <f>(1-O$26)*O$14</f>
        <v>9.5853652664462281</v>
      </c>
      <c r="P97" s="226">
        <f>(1-P$26)*P$14</f>
        <v>11.143971187302938</v>
      </c>
      <c r="Q97" s="226">
        <f>(1-Q$26)*Q$14</f>
        <v>12.786826795383661</v>
      </c>
      <c r="S97" s="226">
        <f>(1-S$26)*S$14</f>
        <v>7.4779905403502775</v>
      </c>
      <c r="T97" s="226">
        <f>(1-T$26)*T$14</f>
        <v>9.1885342102864946</v>
      </c>
      <c r="U97" s="226">
        <f>(1-U$26)*U$14</f>
        <v>10.639245585900717</v>
      </c>
      <c r="V97" s="226">
        <f>(1-V$26)*V$14</f>
        <v>12.936283340520417</v>
      </c>
      <c r="W97" s="226">
        <f>(1-W$26)*W$14</f>
        <v>15.461495986924907</v>
      </c>
    </row>
    <row r="98" spans="1:42">
      <c r="A98" s="225" t="s">
        <v>16</v>
      </c>
      <c r="C98" s="225" t="str">
        <f>C94</f>
        <v>BRT</v>
      </c>
      <c r="D98" s="225" t="s">
        <v>48</v>
      </c>
      <c r="E98" s="285">
        <v>0</v>
      </c>
      <c r="F98" s="66">
        <f>E98</f>
        <v>0</v>
      </c>
      <c r="G98" s="66">
        <f>F98</f>
        <v>0</v>
      </c>
      <c r="H98" s="66">
        <f t="shared" ref="H98:K99" si="50">IF($D$4,T98,N98)</f>
        <v>0.02</v>
      </c>
      <c r="I98" s="66">
        <f t="shared" si="50"/>
        <v>0.05</v>
      </c>
      <c r="J98" s="66">
        <f t="shared" si="50"/>
        <v>0.1</v>
      </c>
      <c r="K98" s="66">
        <f t="shared" si="50"/>
        <v>0.15</v>
      </c>
      <c r="L98" s="286"/>
      <c r="M98" s="274">
        <f>$F98</f>
        <v>0</v>
      </c>
      <c r="N98" s="35">
        <v>0.02</v>
      </c>
      <c r="O98" s="35">
        <v>0.05</v>
      </c>
      <c r="P98" s="35">
        <v>0.1</v>
      </c>
      <c r="Q98" s="35">
        <v>0.15</v>
      </c>
      <c r="R98" s="285"/>
      <c r="S98" s="274">
        <f>$F98</f>
        <v>0</v>
      </c>
      <c r="T98" s="35">
        <v>0.02</v>
      </c>
      <c r="U98" s="77">
        <f>U83</f>
        <v>7.0000000000000007E-2</v>
      </c>
      <c r="V98" s="77">
        <v>0.2</v>
      </c>
      <c r="W98" s="77">
        <v>0.4</v>
      </c>
      <c r="X98" s="285"/>
      <c r="Y98" s="285"/>
      <c r="Z98" s="285"/>
      <c r="AA98" s="285"/>
      <c r="AB98" s="285"/>
      <c r="AC98" s="285"/>
      <c r="AD98" s="285"/>
      <c r="AE98" s="285"/>
      <c r="AF98" s="285"/>
      <c r="AG98" s="285"/>
      <c r="AH98" s="285"/>
      <c r="AI98" s="285"/>
      <c r="AJ98" s="285"/>
      <c r="AK98" s="285"/>
      <c r="AL98" s="285"/>
      <c r="AM98" s="285"/>
      <c r="AN98" s="285"/>
      <c r="AO98" s="285"/>
      <c r="AP98" s="285"/>
    </row>
    <row r="99" spans="1:42">
      <c r="A99" s="225" t="s">
        <v>16</v>
      </c>
      <c r="C99" s="225" t="str">
        <f>C95</f>
        <v>Gautrain</v>
      </c>
      <c r="D99" s="225" t="s">
        <v>48</v>
      </c>
      <c r="E99" s="285">
        <v>2E-3</v>
      </c>
      <c r="F99" s="66">
        <f>E99</f>
        <v>2E-3</v>
      </c>
      <c r="G99" s="66">
        <f>F99</f>
        <v>2E-3</v>
      </c>
      <c r="H99" s="66">
        <f t="shared" si="50"/>
        <v>2E-3</v>
      </c>
      <c r="I99" s="66">
        <f t="shared" si="50"/>
        <v>2E-3</v>
      </c>
      <c r="J99" s="66">
        <f t="shared" si="50"/>
        <v>2E-3</v>
      </c>
      <c r="K99" s="66">
        <f t="shared" si="50"/>
        <v>2E-3</v>
      </c>
      <c r="L99" s="286"/>
      <c r="M99" s="274">
        <f>$F99</f>
        <v>2E-3</v>
      </c>
      <c r="N99" s="50">
        <v>2E-3</v>
      </c>
      <c r="O99" s="50">
        <f>N99</f>
        <v>2E-3</v>
      </c>
      <c r="P99" s="50">
        <f>O99</f>
        <v>2E-3</v>
      </c>
      <c r="Q99" s="50">
        <f>P99</f>
        <v>2E-3</v>
      </c>
      <c r="R99" s="285"/>
      <c r="S99" s="274">
        <f>$F99</f>
        <v>2E-3</v>
      </c>
      <c r="T99" s="50">
        <v>2E-3</v>
      </c>
      <c r="U99" s="77">
        <f>U84</f>
        <v>0.01</v>
      </c>
      <c r="V99" s="77">
        <f>V84</f>
        <v>0.02</v>
      </c>
      <c r="W99" s="77">
        <f>W84</f>
        <v>0.03</v>
      </c>
      <c r="X99" s="285"/>
      <c r="Y99" s="285"/>
      <c r="Z99" s="285"/>
      <c r="AA99" s="285"/>
      <c r="AB99" s="285"/>
      <c r="AC99" s="285"/>
      <c r="AD99" s="285"/>
      <c r="AE99" s="285"/>
      <c r="AF99" s="285"/>
      <c r="AG99" s="285"/>
      <c r="AH99" s="285"/>
      <c r="AI99" s="285"/>
      <c r="AJ99" s="285"/>
      <c r="AK99" s="285"/>
      <c r="AL99" s="285"/>
      <c r="AM99" s="285"/>
      <c r="AN99" s="285"/>
      <c r="AO99" s="285"/>
      <c r="AP99" s="285"/>
    </row>
    <row r="100" spans="1:42">
      <c r="A100" s="225" t="s">
        <v>16</v>
      </c>
      <c r="C100" s="225" t="str">
        <f>C96</f>
        <v>Bus, minibus, metro rail</v>
      </c>
      <c r="D100" s="225" t="s">
        <v>48</v>
      </c>
      <c r="E100" s="34">
        <f t="shared" ref="E100:K100" si="51">1-SUM(E98:E99)</f>
        <v>0.998</v>
      </c>
      <c r="F100" s="34">
        <f t="shared" si="51"/>
        <v>0.998</v>
      </c>
      <c r="G100" s="34">
        <f t="shared" ref="G100" si="52">1-SUM(G98:G99)</f>
        <v>0.998</v>
      </c>
      <c r="H100" s="34">
        <f t="shared" si="51"/>
        <v>0.97799999999999998</v>
      </c>
      <c r="I100" s="34">
        <f t="shared" si="51"/>
        <v>0.94799999999999995</v>
      </c>
      <c r="J100" s="34">
        <f t="shared" si="51"/>
        <v>0.89800000000000002</v>
      </c>
      <c r="K100" s="34">
        <f t="shared" si="51"/>
        <v>0.84799999999999998</v>
      </c>
      <c r="L100" s="286"/>
      <c r="M100" s="34">
        <f>1-SUM(M98:M99)</f>
        <v>0.998</v>
      </c>
      <c r="N100" s="34">
        <f>1-SUM(N98:N99)</f>
        <v>0.97799999999999998</v>
      </c>
      <c r="O100" s="34">
        <f>1-SUM(O98:O99)</f>
        <v>0.94799999999999995</v>
      </c>
      <c r="P100" s="34">
        <f>1-SUM(P98:P99)</f>
        <v>0.89800000000000002</v>
      </c>
      <c r="Q100" s="34">
        <f>1-SUM(Q98:Q99)</f>
        <v>0.84799999999999998</v>
      </c>
      <c r="R100" s="285"/>
      <c r="S100" s="34">
        <f>1-SUM(S98:S99)</f>
        <v>0.998</v>
      </c>
      <c r="T100" s="34">
        <f>1-SUM(T98:T99)</f>
        <v>0.97799999999999998</v>
      </c>
      <c r="U100" s="34">
        <f>1-SUM(U98:U99)</f>
        <v>0.92</v>
      </c>
      <c r="V100" s="34">
        <f>1-SUM(V98:V99)</f>
        <v>0.78</v>
      </c>
      <c r="W100" s="34">
        <f>1-SUM(W98:W99)</f>
        <v>0.56999999999999995</v>
      </c>
      <c r="X100" s="285"/>
      <c r="Y100" s="285"/>
      <c r="Z100" s="285"/>
      <c r="AA100" s="285"/>
      <c r="AB100" s="285"/>
      <c r="AC100" s="285"/>
      <c r="AD100" s="285"/>
      <c r="AE100" s="285"/>
      <c r="AF100" s="285"/>
      <c r="AG100" s="285"/>
      <c r="AH100" s="285"/>
      <c r="AI100" s="285"/>
      <c r="AJ100" s="285"/>
      <c r="AK100" s="285"/>
      <c r="AL100" s="285"/>
      <c r="AM100" s="285"/>
      <c r="AN100" s="285"/>
      <c r="AO100" s="285"/>
      <c r="AP100" s="285"/>
    </row>
    <row r="101" spans="1:42">
      <c r="A101" s="225" t="s">
        <v>16</v>
      </c>
      <c r="C101" s="39" t="str">
        <f>C86</f>
        <v>High Income</v>
      </c>
      <c r="D101" s="225" t="s">
        <v>191</v>
      </c>
      <c r="E101" s="226">
        <f t="shared" ref="E101:M101" si="53">(1-E$27)*E$15</f>
        <v>2.2926886221503193</v>
      </c>
      <c r="F101" s="226">
        <f t="shared" si="53"/>
        <v>2.5369252954454136</v>
      </c>
      <c r="G101" s="226">
        <f t="shared" si="53"/>
        <v>2.6873405708441127</v>
      </c>
      <c r="H101" s="226">
        <f t="shared" si="53"/>
        <v>2.4998543997776825</v>
      </c>
      <c r="I101" s="226">
        <f t="shared" si="53"/>
        <v>3.437166594440082</v>
      </c>
      <c r="J101" s="226">
        <f t="shared" si="53"/>
        <v>4.7195506569752137</v>
      </c>
      <c r="K101" s="226">
        <f t="shared" si="53"/>
        <v>6.1578788322516278</v>
      </c>
      <c r="M101" s="226">
        <f t="shared" si="53"/>
        <v>2.2926886221503193</v>
      </c>
      <c r="N101" s="226">
        <f>(1-N$27)*N$15</f>
        <v>2.4998543997776825</v>
      </c>
      <c r="O101" s="226">
        <f>(1-O$27)*O$15</f>
        <v>3.437166594440082</v>
      </c>
      <c r="P101" s="226">
        <f>(1-P$27)*P$15</f>
        <v>4.7195506569752137</v>
      </c>
      <c r="Q101" s="226">
        <f>(1-Q$27)*Q$15</f>
        <v>6.1578788322516278</v>
      </c>
      <c r="S101" s="226">
        <f>(1-S$27)*S$15</f>
        <v>2.2926886221503193</v>
      </c>
      <c r="T101" s="226">
        <f>(1-T$27)*T$15</f>
        <v>2.7264037047575345</v>
      </c>
      <c r="U101" s="226">
        <f>(1-U$27)*U$15</f>
        <v>4.0523657091168186</v>
      </c>
      <c r="V101" s="226">
        <f>(1-V$27)*V$15</f>
        <v>5.9708676142676529</v>
      </c>
      <c r="W101" s="226">
        <f>(1-W$27)*W$15</f>
        <v>8.3077876683372125</v>
      </c>
    </row>
    <row r="102" spans="1:42">
      <c r="A102" s="225" t="s">
        <v>16</v>
      </c>
      <c r="C102" s="225" t="str">
        <f>C98</f>
        <v>BRT</v>
      </c>
      <c r="D102" s="225" t="s">
        <v>48</v>
      </c>
      <c r="E102" s="285">
        <v>0.01</v>
      </c>
      <c r="F102" s="66">
        <f>E102</f>
        <v>0.01</v>
      </c>
      <c r="G102" s="66">
        <f>F102</f>
        <v>0.01</v>
      </c>
      <c r="H102" s="66">
        <f t="shared" ref="H102:K103" si="54">IF($D$4,T102,N102)</f>
        <v>0.02</v>
      </c>
      <c r="I102" s="66">
        <f t="shared" si="54"/>
        <v>0.03</v>
      </c>
      <c r="J102" s="66">
        <f t="shared" si="54"/>
        <v>0.03</v>
      </c>
      <c r="K102" s="66">
        <f t="shared" si="54"/>
        <v>0.03</v>
      </c>
      <c r="L102" s="286"/>
      <c r="M102" s="288">
        <f>$F102</f>
        <v>0.01</v>
      </c>
      <c r="N102" s="35">
        <v>0.02</v>
      </c>
      <c r="O102" s="35">
        <v>0.03</v>
      </c>
      <c r="P102" s="35">
        <v>0.03</v>
      </c>
      <c r="Q102" s="35">
        <v>0.03</v>
      </c>
      <c r="R102" s="285"/>
      <c r="S102" s="274">
        <f>$F102</f>
        <v>0.01</v>
      </c>
      <c r="T102" s="35">
        <v>0.02</v>
      </c>
      <c r="U102" s="77">
        <v>7.0000000000000007E-2</v>
      </c>
      <c r="V102" s="77">
        <v>0.2</v>
      </c>
      <c r="W102" s="77">
        <v>0.4</v>
      </c>
      <c r="X102" s="285"/>
      <c r="Y102" s="285"/>
      <c r="Z102" s="285"/>
      <c r="AA102" s="285"/>
      <c r="AB102" s="285"/>
      <c r="AC102" s="285"/>
      <c r="AD102" s="285"/>
      <c r="AE102" s="285"/>
      <c r="AF102" s="285"/>
      <c r="AG102" s="285"/>
      <c r="AH102" s="285"/>
      <c r="AI102" s="285"/>
      <c r="AJ102" s="285"/>
      <c r="AK102" s="285"/>
      <c r="AL102" s="285"/>
      <c r="AM102" s="285"/>
      <c r="AN102" s="285"/>
      <c r="AO102" s="285"/>
      <c r="AP102" s="285"/>
    </row>
    <row r="103" spans="1:42">
      <c r="A103" s="225" t="s">
        <v>16</v>
      </c>
      <c r="C103" s="225" t="str">
        <f>C99</f>
        <v>Gautrain</v>
      </c>
      <c r="D103" s="225" t="s">
        <v>48</v>
      </c>
      <c r="E103" s="285">
        <v>5.0000000000000001E-3</v>
      </c>
      <c r="F103" s="160">
        <f>E103</f>
        <v>5.0000000000000001E-3</v>
      </c>
      <c r="G103" s="160">
        <f>F103</f>
        <v>5.0000000000000001E-3</v>
      </c>
      <c r="H103" s="66">
        <f t="shared" si="54"/>
        <v>5.0000000000000001E-3</v>
      </c>
      <c r="I103" s="66">
        <f t="shared" si="54"/>
        <v>5.0000000000000001E-3</v>
      </c>
      <c r="J103" s="66">
        <f t="shared" si="54"/>
        <v>5.0000000000000001E-3</v>
      </c>
      <c r="K103" s="66">
        <f t="shared" si="54"/>
        <v>5.0000000000000001E-3</v>
      </c>
      <c r="L103" s="286"/>
      <c r="M103" s="274">
        <f>$F103</f>
        <v>5.0000000000000001E-3</v>
      </c>
      <c r="N103" s="50">
        <v>5.0000000000000001E-3</v>
      </c>
      <c r="O103" s="50">
        <f>N103</f>
        <v>5.0000000000000001E-3</v>
      </c>
      <c r="P103" s="50">
        <f>O103</f>
        <v>5.0000000000000001E-3</v>
      </c>
      <c r="Q103" s="50">
        <f>P103</f>
        <v>5.0000000000000001E-3</v>
      </c>
      <c r="R103" s="285"/>
      <c r="S103" s="274">
        <f>$F103</f>
        <v>5.0000000000000001E-3</v>
      </c>
      <c r="T103" s="50">
        <v>5.0000000000000001E-3</v>
      </c>
      <c r="U103" s="77">
        <f>U89</f>
        <v>0.01</v>
      </c>
      <c r="V103" s="77">
        <f>V89</f>
        <v>0.03</v>
      </c>
      <c r="W103" s="77">
        <f>W89</f>
        <v>0.05</v>
      </c>
      <c r="X103" s="285"/>
      <c r="Y103" s="285"/>
      <c r="Z103" s="285"/>
      <c r="AA103" s="285"/>
      <c r="AB103" s="285"/>
      <c r="AC103" s="285"/>
      <c r="AD103" s="285"/>
      <c r="AE103" s="285"/>
      <c r="AF103" s="285"/>
      <c r="AG103" s="285"/>
      <c r="AH103" s="285"/>
      <c r="AI103" s="285"/>
      <c r="AJ103" s="285"/>
      <c r="AK103" s="285"/>
      <c r="AL103" s="285"/>
      <c r="AM103" s="285"/>
      <c r="AN103" s="285"/>
      <c r="AO103" s="285"/>
      <c r="AP103" s="285"/>
    </row>
    <row r="104" spans="1:42">
      <c r="A104" s="225" t="s">
        <v>16</v>
      </c>
      <c r="C104" s="225" t="str">
        <f>C100</f>
        <v>Bus, minibus, metro rail</v>
      </c>
      <c r="D104" s="225" t="s">
        <v>48</v>
      </c>
      <c r="E104" s="34">
        <f t="shared" ref="E104:M104" si="55">1-SUM(E102:E103)</f>
        <v>0.98499999999999999</v>
      </c>
      <c r="F104" s="34">
        <f t="shared" si="55"/>
        <v>0.98499999999999999</v>
      </c>
      <c r="G104" s="34">
        <f t="shared" ref="G104" si="56">1-SUM(G102:G103)</f>
        <v>0.98499999999999999</v>
      </c>
      <c r="H104" s="34">
        <f t="shared" si="55"/>
        <v>0.97499999999999998</v>
      </c>
      <c r="I104" s="34">
        <f t="shared" si="55"/>
        <v>0.96499999999999997</v>
      </c>
      <c r="J104" s="34">
        <f t="shared" si="55"/>
        <v>0.96499999999999997</v>
      </c>
      <c r="K104" s="34">
        <f t="shared" si="55"/>
        <v>0.96499999999999997</v>
      </c>
      <c r="L104" s="286"/>
      <c r="M104" s="34">
        <f t="shared" si="55"/>
        <v>0.98499999999999999</v>
      </c>
      <c r="N104" s="34">
        <f>1-SUM(N102:N103)</f>
        <v>0.97499999999999998</v>
      </c>
      <c r="O104" s="34">
        <f>1-SUM(O102:O103)</f>
        <v>0.96499999999999997</v>
      </c>
      <c r="P104" s="34">
        <f>1-SUM(P102:P103)</f>
        <v>0.96499999999999997</v>
      </c>
      <c r="Q104" s="34">
        <f>1-SUM(Q102:Q103)</f>
        <v>0.96499999999999997</v>
      </c>
      <c r="R104" s="285"/>
      <c r="S104" s="34">
        <f>1-SUM(S102:S103)</f>
        <v>0.98499999999999999</v>
      </c>
      <c r="T104" s="34">
        <f>1-SUM(T102:T103)</f>
        <v>0.97499999999999998</v>
      </c>
      <c r="U104" s="34">
        <f>1-SUM(U102:U103)</f>
        <v>0.92</v>
      </c>
      <c r="V104" s="34">
        <f>1-SUM(V102:V103)</f>
        <v>0.77</v>
      </c>
      <c r="W104" s="34">
        <f>1-SUM(W102:W103)</f>
        <v>0.55000000000000004</v>
      </c>
      <c r="X104" s="285"/>
      <c r="Y104" s="285"/>
      <c r="Z104" s="285"/>
      <c r="AA104" s="285"/>
      <c r="AB104" s="285"/>
      <c r="AC104" s="285"/>
      <c r="AD104" s="285"/>
      <c r="AE104" s="285"/>
      <c r="AF104" s="285"/>
      <c r="AG104" s="285"/>
      <c r="AH104" s="285"/>
      <c r="AI104" s="285"/>
      <c r="AJ104" s="285"/>
      <c r="AK104" s="285"/>
      <c r="AL104" s="285"/>
      <c r="AM104" s="285"/>
      <c r="AN104" s="285"/>
      <c r="AO104" s="285"/>
      <c r="AP104" s="285"/>
    </row>
    <row r="105" spans="1:42">
      <c r="A105" s="225" t="s">
        <v>16</v>
      </c>
      <c r="C105" s="271"/>
      <c r="E105" s="275"/>
      <c r="F105" s="275"/>
      <c r="G105" s="275"/>
      <c r="H105" s="275"/>
      <c r="I105" s="275"/>
      <c r="J105" s="275"/>
      <c r="K105" s="275"/>
    </row>
    <row r="106" spans="1:42" ht="15.75" thickBot="1">
      <c r="A106" s="225" t="s">
        <v>16</v>
      </c>
      <c r="C106" s="270" t="s">
        <v>194</v>
      </c>
      <c r="F106" s="275"/>
      <c r="G106" s="275"/>
      <c r="H106" s="275"/>
      <c r="I106" s="275"/>
      <c r="J106" s="275"/>
      <c r="K106" s="275"/>
    </row>
    <row r="107" spans="1:42">
      <c r="A107" s="225" t="s">
        <v>16</v>
      </c>
      <c r="C107" s="271" t="str">
        <f>C54</f>
        <v>Low Income</v>
      </c>
      <c r="D107" s="225" t="s">
        <v>173</v>
      </c>
      <c r="E107" s="226">
        <f t="shared" ref="E107:K109" si="57">E25*E13*E30*E41</f>
        <v>1.0643423914536045</v>
      </c>
      <c r="F107" s="226">
        <f t="shared" si="57"/>
        <v>1.0530187692018682</v>
      </c>
      <c r="G107" s="226">
        <f t="shared" si="57"/>
        <v>1.0486188213464138</v>
      </c>
      <c r="H107" s="226">
        <f t="shared" si="57"/>
        <v>1.0874959251065954</v>
      </c>
      <c r="I107" s="226">
        <f t="shared" si="57"/>
        <v>1.06422251671327</v>
      </c>
      <c r="J107" s="226">
        <f t="shared" si="57"/>
        <v>0.92513921145328137</v>
      </c>
      <c r="K107" s="226">
        <f t="shared" si="57"/>
        <v>0.78306584874972529</v>
      </c>
      <c r="M107" s="226">
        <f t="shared" ref="M107:Q109" si="58">M25*M13*M30*M41</f>
        <v>1.0643423914536045</v>
      </c>
      <c r="N107" s="226">
        <f t="shared" si="58"/>
        <v>1.0874959251065954</v>
      </c>
      <c r="O107" s="226">
        <f t="shared" si="58"/>
        <v>1.06422251671327</v>
      </c>
      <c r="P107" s="226">
        <f t="shared" si="58"/>
        <v>0.92513921145328137</v>
      </c>
      <c r="Q107" s="226">
        <f t="shared" si="58"/>
        <v>0.78306584874972529</v>
      </c>
      <c r="S107" s="226">
        <f t="shared" ref="S107:W109" si="59">S25*S13*S30*S41</f>
        <v>1.0643423914536045</v>
      </c>
      <c r="T107" s="226">
        <f t="shared" si="59"/>
        <v>2.9443952172261061</v>
      </c>
      <c r="U107" s="226">
        <f t="shared" si="59"/>
        <v>2.1670397281342195</v>
      </c>
      <c r="V107" s="226">
        <f t="shared" si="59"/>
        <v>1.3601246640770281</v>
      </c>
      <c r="W107" s="226">
        <f t="shared" si="59"/>
        <v>1.0390037662105567</v>
      </c>
    </row>
    <row r="108" spans="1:42">
      <c r="A108" s="225" t="s">
        <v>16</v>
      </c>
      <c r="C108" s="271" t="str">
        <f>C55</f>
        <v>Middle Income</v>
      </c>
      <c r="D108" s="225" t="s">
        <v>173</v>
      </c>
      <c r="E108" s="226">
        <f>E26*E14*E31*E42</f>
        <v>35.428997382886735</v>
      </c>
      <c r="F108" s="226">
        <f t="shared" si="57"/>
        <v>36.788494468895159</v>
      </c>
      <c r="G108" s="226">
        <f t="shared" si="57"/>
        <v>37.863909641161541</v>
      </c>
      <c r="H108" s="226">
        <f t="shared" si="57"/>
        <v>41.209637335568061</v>
      </c>
      <c r="I108" s="226">
        <f t="shared" si="57"/>
        <v>45.413253614924947</v>
      </c>
      <c r="J108" s="226">
        <f t="shared" si="57"/>
        <v>52.797569601021081</v>
      </c>
      <c r="K108" s="226">
        <f t="shared" si="57"/>
        <v>60.581041206807086</v>
      </c>
      <c r="M108" s="226">
        <f t="shared" si="58"/>
        <v>35.428997382886735</v>
      </c>
      <c r="N108" s="226">
        <f t="shared" si="58"/>
        <v>41.209637335568061</v>
      </c>
      <c r="O108" s="226">
        <f t="shared" si="58"/>
        <v>45.413253614924947</v>
      </c>
      <c r="P108" s="226">
        <f t="shared" si="58"/>
        <v>52.797569601021081</v>
      </c>
      <c r="Q108" s="226">
        <f t="shared" si="58"/>
        <v>60.581041206807086</v>
      </c>
      <c r="S108" s="226">
        <f t="shared" si="59"/>
        <v>35.428997382886735</v>
      </c>
      <c r="T108" s="226">
        <f t="shared" si="59"/>
        <v>35.332112810582657</v>
      </c>
      <c r="U108" s="226">
        <f t="shared" si="59"/>
        <v>33.382914459227784</v>
      </c>
      <c r="V108" s="226">
        <f t="shared" si="59"/>
        <v>33.275637075937489</v>
      </c>
      <c r="W108" s="226">
        <f t="shared" si="59"/>
        <v>32.73557673720407</v>
      </c>
    </row>
    <row r="109" spans="1:42">
      <c r="A109" s="225" t="s">
        <v>16</v>
      </c>
      <c r="C109" s="271" t="str">
        <f>C56</f>
        <v>High Income</v>
      </c>
      <c r="D109" s="225" t="s">
        <v>173</v>
      </c>
      <c r="E109" s="226">
        <f>E27*E15*E32*E43</f>
        <v>53.744119977906955</v>
      </c>
      <c r="F109" s="226">
        <f>F27*F15*F32*F43</f>
        <v>59.469400308502038</v>
      </c>
      <c r="G109" s="226">
        <f>G27*G15*G32*G43</f>
        <v>62.242859552724312</v>
      </c>
      <c r="H109" s="226">
        <f t="shared" si="57"/>
        <v>57.900397141977336</v>
      </c>
      <c r="I109" s="226">
        <f t="shared" si="57"/>
        <v>82.748704811286473</v>
      </c>
      <c r="J109" s="226">
        <f t="shared" si="57"/>
        <v>120.3115335065704</v>
      </c>
      <c r="K109" s="226">
        <f t="shared" si="57"/>
        <v>167.59419064009197</v>
      </c>
      <c r="M109" s="226">
        <f t="shared" si="58"/>
        <v>53.744119977906955</v>
      </c>
      <c r="N109" s="226">
        <f t="shared" si="58"/>
        <v>57.900397141977336</v>
      </c>
      <c r="O109" s="226">
        <f t="shared" si="58"/>
        <v>82.748704811286473</v>
      </c>
      <c r="P109" s="226">
        <f t="shared" si="58"/>
        <v>120.3115335065704</v>
      </c>
      <c r="Q109" s="226">
        <f t="shared" si="58"/>
        <v>167.59419064009197</v>
      </c>
      <c r="S109" s="226">
        <f t="shared" si="59"/>
        <v>53.744119977906955</v>
      </c>
      <c r="T109" s="226">
        <f t="shared" si="59"/>
        <v>52.921656742525784</v>
      </c>
      <c r="U109" s="226">
        <f t="shared" si="59"/>
        <v>65.713127313862614</v>
      </c>
      <c r="V109" s="226">
        <f t="shared" si="59"/>
        <v>81.486383264244282</v>
      </c>
      <c r="W109" s="226">
        <f t="shared" si="59"/>
        <v>96.017051643207779</v>
      </c>
    </row>
    <row r="110" spans="1:42">
      <c r="A110" s="225" t="s">
        <v>16</v>
      </c>
      <c r="C110" s="271" t="str">
        <f>C57</f>
        <v>Other (gov/company/car rental)</v>
      </c>
      <c r="D110" s="225" t="s">
        <v>173</v>
      </c>
      <c r="E110" s="226">
        <f t="shared" ref="E110:K110" si="60">E50</f>
        <v>6.055780527292475</v>
      </c>
      <c r="F110" s="226">
        <f t="shared" si="60"/>
        <v>6.2383982101543394</v>
      </c>
      <c r="G110" s="226">
        <f t="shared" si="60"/>
        <v>6.1098740516904213</v>
      </c>
      <c r="H110" s="226">
        <f t="shared" si="60"/>
        <v>6.1098740516904213</v>
      </c>
      <c r="I110" s="226">
        <f t="shared" si="60"/>
        <v>6.8040975503288106</v>
      </c>
      <c r="J110" s="226">
        <f t="shared" si="60"/>
        <v>7.6822164182872994</v>
      </c>
      <c r="K110" s="226">
        <f t="shared" si="60"/>
        <v>8.5522695435711285</v>
      </c>
      <c r="L110" s="43"/>
      <c r="M110" s="226">
        <f>M50</f>
        <v>6.2383982101543394</v>
      </c>
      <c r="N110" s="226">
        <f>N50</f>
        <v>6.1098740516904213</v>
      </c>
      <c r="O110" s="226">
        <f>O50</f>
        <v>6.8040975503288106</v>
      </c>
      <c r="P110" s="226">
        <f>P50</f>
        <v>7.6822164182872994</v>
      </c>
      <c r="Q110" s="226">
        <f>Q50</f>
        <v>8.5522695435711285</v>
      </c>
      <c r="S110" s="226">
        <f>S50</f>
        <v>6.2383982101543394</v>
      </c>
      <c r="T110" s="226">
        <f>T50</f>
        <v>5.8043803491058998</v>
      </c>
      <c r="U110" s="226">
        <f>U50</f>
        <v>6.1406980391717507</v>
      </c>
      <c r="V110" s="226">
        <f>V50</f>
        <v>6.5865403016290713</v>
      </c>
      <c r="W110" s="226">
        <f>W50</f>
        <v>6.965876994923331</v>
      </c>
    </row>
    <row r="111" spans="1:42">
      <c r="A111" s="225" t="s">
        <v>16</v>
      </c>
      <c r="C111" s="271" t="s">
        <v>5</v>
      </c>
      <c r="D111" s="225" t="s">
        <v>173</v>
      </c>
      <c r="E111" s="226">
        <f t="shared" ref="E111:K111" si="61">SUM(E107:E110)</f>
        <v>96.293240279539773</v>
      </c>
      <c r="F111" s="226">
        <f t="shared" si="61"/>
        <v>103.54931175675341</v>
      </c>
      <c r="G111" s="226">
        <f t="shared" ref="G111" si="62">SUM(G107:G110)</f>
        <v>107.26526206692269</v>
      </c>
      <c r="H111" s="226">
        <f t="shared" si="61"/>
        <v>106.30740445434242</v>
      </c>
      <c r="I111" s="226">
        <f t="shared" si="61"/>
        <v>136.03027849325349</v>
      </c>
      <c r="J111" s="226">
        <f t="shared" si="61"/>
        <v>181.71645873733209</v>
      </c>
      <c r="K111" s="226">
        <f t="shared" si="61"/>
        <v>237.51056723921991</v>
      </c>
      <c r="M111" s="226">
        <f>SUM(M107:M110)</f>
        <v>96.475857962401648</v>
      </c>
      <c r="N111" s="226">
        <f>SUM(N107:N110)</f>
        <v>106.30740445434242</v>
      </c>
      <c r="O111" s="226">
        <f>SUM(O107:O110)</f>
        <v>136.03027849325349</v>
      </c>
      <c r="P111" s="226">
        <f>SUM(P107:P110)</f>
        <v>181.71645873733209</v>
      </c>
      <c r="Q111" s="226">
        <f>SUM(Q107:Q110)</f>
        <v>237.51056723921991</v>
      </c>
      <c r="S111" s="226">
        <f>SUM(S107:S110)</f>
        <v>96.475857962401648</v>
      </c>
      <c r="T111" s="226">
        <f>SUM(T107:T110)</f>
        <v>97.002545119440455</v>
      </c>
      <c r="U111" s="226">
        <f>SUM(U107:U110)</f>
        <v>107.40377954039637</v>
      </c>
      <c r="V111" s="226">
        <f>SUM(V107:V110)</f>
        <v>122.70868530588787</v>
      </c>
      <c r="W111" s="226">
        <f>SUM(W107:W110)</f>
        <v>136.75750914154574</v>
      </c>
    </row>
    <row r="112" spans="1:42">
      <c r="A112" s="225" t="s">
        <v>16</v>
      </c>
      <c r="C112" s="271"/>
      <c r="E112" s="276">
        <f>SUM(E149:E151)</f>
        <v>96.293240279539773</v>
      </c>
      <c r="F112" s="276">
        <f t="shared" ref="F112:G112" si="63">SUM(F149:F151)</f>
        <v>102.6257880696414</v>
      </c>
      <c r="G112" s="276">
        <f t="shared" si="63"/>
        <v>106.30859698974876</v>
      </c>
      <c r="H112" s="276">
        <f>SUM(H149:H151)</f>
        <v>106.30740445434242</v>
      </c>
      <c r="I112" s="275"/>
      <c r="J112" s="275"/>
      <c r="K112" s="275"/>
    </row>
    <row r="113" spans="1:42" ht="15.75" thickBot="1">
      <c r="A113" s="225" t="s">
        <v>16</v>
      </c>
      <c r="C113" s="270" t="s">
        <v>182</v>
      </c>
    </row>
    <row r="114" spans="1:42">
      <c r="A114" s="225" t="s">
        <v>16</v>
      </c>
      <c r="C114" s="39" t="str">
        <f>C93</f>
        <v>Low Income</v>
      </c>
      <c r="E114" s="226"/>
      <c r="F114" s="226"/>
      <c r="G114" s="226"/>
      <c r="H114" s="226"/>
      <c r="I114" s="226"/>
      <c r="J114" s="226"/>
      <c r="K114" s="226"/>
    </row>
    <row r="115" spans="1:42">
      <c r="A115" s="225" t="s">
        <v>16</v>
      </c>
      <c r="C115" s="225" t="s">
        <v>63</v>
      </c>
      <c r="D115" s="225" t="s">
        <v>136</v>
      </c>
      <c r="E115" s="226">
        <f t="shared" ref="E115:K115" si="64">E$64*(1-E$73)*E68*(E75*E78+E93*E94)/1000</f>
        <v>1.2699656541331567E-2</v>
      </c>
      <c r="F115" s="226">
        <f t="shared" si="64"/>
        <v>1.2564543898486973E-2</v>
      </c>
      <c r="G115" s="226">
        <f t="shared" si="64"/>
        <v>1.2512044038467562E-2</v>
      </c>
      <c r="H115" s="226">
        <f t="shared" si="64"/>
        <v>2.5951845665170841</v>
      </c>
      <c r="I115" s="226">
        <f t="shared" si="64"/>
        <v>6.3491131022940017</v>
      </c>
      <c r="J115" s="226">
        <f t="shared" si="64"/>
        <v>11.038694251695732</v>
      </c>
      <c r="K115" s="226">
        <f t="shared" si="64"/>
        <v>14.015227724021317</v>
      </c>
      <c r="L115" s="286"/>
      <c r="M115" s="226">
        <f>M$64*(1-M$73)*M68*(M75*M78+M93*M94)/1000</f>
        <v>1.2699656541331567E-2</v>
      </c>
      <c r="N115" s="226">
        <f>N$64*(1-N$73)*N68*(N75*N78+N93*N94)/1000</f>
        <v>2.5951845665170841</v>
      </c>
      <c r="O115" s="226">
        <f>O$64*(1-O$73)*O68*(O75*O78+O93*O94)/1000</f>
        <v>6.3491131022940017</v>
      </c>
      <c r="P115" s="226">
        <f>P$64*(1-P$73)*P68*(P75*P78+P93*P94)/1000</f>
        <v>11.038694251695732</v>
      </c>
      <c r="Q115" s="226">
        <f>Q$64*(1-Q$73)*Q68*(Q75*Q78+Q93*Q94)/1000</f>
        <v>14.015227724021317</v>
      </c>
      <c r="R115" s="285"/>
      <c r="S115" s="226">
        <f>S$64*(1-S$73)*S68*(S75*S78+S93*S94)/1000</f>
        <v>1.2699656541331567E-2</v>
      </c>
      <c r="T115" s="226">
        <f>T$64*(1-T$73)*T68*(T75*T78+T93*T94)/1000</f>
        <v>2.5951845665170841</v>
      </c>
      <c r="U115" s="226">
        <f>U$64*(1-U$73)*U68*(U75*U78+U93*U94)/1000</f>
        <v>8.8887583432116006</v>
      </c>
      <c r="V115" s="226">
        <f>V$64*(1-V$73)*V68*(V75*V78+V93*V94)/1000</f>
        <v>21.856614618357547</v>
      </c>
      <c r="W115" s="226">
        <f>W$64*(1-W$73)*W68*(W75*W78+W93*W94)/1000</f>
        <v>36.813331488429327</v>
      </c>
      <c r="X115" s="285"/>
      <c r="Y115" s="285"/>
      <c r="Z115" s="285"/>
      <c r="AA115" s="285"/>
      <c r="AB115" s="285"/>
      <c r="AC115" s="285"/>
      <c r="AD115" s="285"/>
      <c r="AE115" s="285"/>
      <c r="AF115" s="285"/>
      <c r="AG115" s="285"/>
      <c r="AH115" s="285"/>
      <c r="AI115" s="285"/>
      <c r="AJ115" s="285"/>
      <c r="AK115" s="285"/>
      <c r="AL115" s="285"/>
      <c r="AM115" s="285"/>
      <c r="AN115" s="285"/>
      <c r="AO115" s="285"/>
      <c r="AP115" s="285"/>
    </row>
    <row r="116" spans="1:42">
      <c r="A116" s="225" t="s">
        <v>16</v>
      </c>
      <c r="C116" s="225" t="s">
        <v>82</v>
      </c>
      <c r="D116" s="225" t="s">
        <v>136</v>
      </c>
      <c r="E116" s="226">
        <f t="shared" ref="E116:K116" si="65">E$64*(1-E$73)*E69*(E75*E79+E93*E95)/1000</f>
        <v>0</v>
      </c>
      <c r="F116" s="226">
        <f t="shared" si="65"/>
        <v>0</v>
      </c>
      <c r="G116" s="226">
        <f t="shared" si="65"/>
        <v>0</v>
      </c>
      <c r="H116" s="226">
        <f t="shared" si="65"/>
        <v>0</v>
      </c>
      <c r="I116" s="226">
        <f t="shared" si="65"/>
        <v>0</v>
      </c>
      <c r="J116" s="226">
        <f t="shared" si="65"/>
        <v>0</v>
      </c>
      <c r="K116" s="226">
        <f t="shared" si="65"/>
        <v>0</v>
      </c>
      <c r="L116" s="286"/>
      <c r="M116" s="226">
        <f>M$64*(1-M$73)*M69*(M75*M79+M93*M95)/1000</f>
        <v>0</v>
      </c>
      <c r="N116" s="226">
        <f>N$64*(1-N$73)*N69*(N75*N79+N93*N95)/1000</f>
        <v>0</v>
      </c>
      <c r="O116" s="226">
        <f>O$64*(1-O$73)*O69*(O75*O79+O93*O95)/1000</f>
        <v>0</v>
      </c>
      <c r="P116" s="226">
        <f>P$64*(1-P$73)*P69*(P75*P79+P93*P95)/1000</f>
        <v>0</v>
      </c>
      <c r="Q116" s="226">
        <f>Q$64*(1-Q$73)*Q69*(Q75*Q79+Q93*Q95)/1000</f>
        <v>0</v>
      </c>
      <c r="R116" s="285"/>
      <c r="S116" s="226">
        <f>S$64*(1-S$73)*S69*(S75*S79+S93*S95)/1000</f>
        <v>0</v>
      </c>
      <c r="T116" s="226">
        <f>T$64*(1-T$73)*T69*(T75*T79+T93*T95)/1000</f>
        <v>0</v>
      </c>
      <c r="U116" s="226">
        <f>U$64*(1-U$73)*U69*(U75*U79+U93*U95)/1000</f>
        <v>0</v>
      </c>
      <c r="V116" s="226">
        <f>V$64*(1-V$73)*V69*(V75*V79+V93*V95)/1000</f>
        <v>0</v>
      </c>
      <c r="W116" s="226">
        <f>W$64*(1-W$73)*W69*(W75*W79+W93*W95)/1000</f>
        <v>0</v>
      </c>
      <c r="X116" s="285"/>
      <c r="Y116" s="285"/>
      <c r="Z116" s="285"/>
      <c r="AA116" s="285"/>
      <c r="AB116" s="285"/>
      <c r="AC116" s="285"/>
      <c r="AD116" s="285"/>
      <c r="AE116" s="285"/>
      <c r="AF116" s="285"/>
      <c r="AG116" s="285"/>
      <c r="AH116" s="285"/>
      <c r="AI116" s="285"/>
      <c r="AJ116" s="285"/>
      <c r="AK116" s="285"/>
      <c r="AL116" s="285"/>
      <c r="AM116" s="285"/>
      <c r="AN116" s="285"/>
      <c r="AO116" s="285"/>
      <c r="AP116" s="285"/>
    </row>
    <row r="117" spans="1:42">
      <c r="A117" s="225" t="s">
        <v>16</v>
      </c>
      <c r="C117" s="225" t="s">
        <v>81</v>
      </c>
      <c r="D117" s="225" t="s">
        <v>136</v>
      </c>
      <c r="E117" s="226">
        <f t="shared" ref="E117:K117" si="66">E$64*(1-E$73)*E70*(E75*E80+E93*E96)/1000</f>
        <v>84.621452103100751</v>
      </c>
      <c r="F117" s="226">
        <f t="shared" si="66"/>
        <v>83.329484277199555</v>
      </c>
      <c r="G117" s="226">
        <f t="shared" si="66"/>
        <v>82.981299234002776</v>
      </c>
      <c r="H117" s="226">
        <f t="shared" si="66"/>
        <v>84.33632373093414</v>
      </c>
      <c r="I117" s="226">
        <f t="shared" si="66"/>
        <v>79.991803952772329</v>
      </c>
      <c r="J117" s="226">
        <f t="shared" si="66"/>
        <v>65.858105491692768</v>
      </c>
      <c r="K117" s="226">
        <f t="shared" si="66"/>
        <v>52.629800117308264</v>
      </c>
      <c r="L117" s="286"/>
      <c r="M117" s="226">
        <f>M$64*(1-M$73)*M70*(M75*M80+M93*M96)/1000</f>
        <v>84.22556669280759</v>
      </c>
      <c r="N117" s="226">
        <f>N$64*(1-N$73)*N70*(N75*N80+N93*N96)/1000</f>
        <v>84.33632373093414</v>
      </c>
      <c r="O117" s="226">
        <f>O$64*(1-O$73)*O70*(O75*O80+O93*O96)/1000</f>
        <v>79.991803952772329</v>
      </c>
      <c r="P117" s="226">
        <f>P$64*(1-P$73)*P70*(P75*P80+P93*P96)/1000</f>
        <v>65.858105491692768</v>
      </c>
      <c r="Q117" s="226">
        <f>Q$64*(1-Q$73)*Q70*(Q75*Q80+Q93*Q96)/1000</f>
        <v>52.629800117308264</v>
      </c>
      <c r="R117" s="285"/>
      <c r="S117" s="226">
        <f>S$64*(1-S$73)*S70*(S75*S80+S93*S96)/1000</f>
        <v>84.22556669280759</v>
      </c>
      <c r="T117" s="226">
        <f>T$64*(1-T$73)*T70*(T75*T80+T93*T96)/1000</f>
        <v>83.555764126689596</v>
      </c>
      <c r="U117" s="226">
        <f>U$64*(1-U$73)*U70*(U75*U80+U93*U96)/1000</f>
        <v>77.808449449963348</v>
      </c>
      <c r="V117" s="226">
        <f>V$64*(1-V$73)*V70*(V75*V80+V93*V96)/1000</f>
        <v>58.427996629163388</v>
      </c>
      <c r="W117" s="226">
        <f>W$64*(1-W$73)*W70*(W75*W80+W93*W96)/1000</f>
        <v>37.283969657357659</v>
      </c>
      <c r="X117" s="285"/>
      <c r="Y117" s="285"/>
      <c r="Z117" s="285"/>
      <c r="AA117" s="285"/>
      <c r="AB117" s="285"/>
      <c r="AC117" s="285"/>
      <c r="AD117" s="285"/>
      <c r="AE117" s="285"/>
      <c r="AF117" s="285"/>
      <c r="AG117" s="285"/>
      <c r="AH117" s="285"/>
      <c r="AI117" s="285"/>
      <c r="AJ117" s="285"/>
      <c r="AK117" s="285"/>
      <c r="AL117" s="285"/>
      <c r="AM117" s="285"/>
      <c r="AN117" s="285"/>
      <c r="AO117" s="285"/>
      <c r="AP117" s="285"/>
    </row>
    <row r="118" spans="1:42">
      <c r="A118" s="225" t="s">
        <v>16</v>
      </c>
      <c r="C118" s="39" t="str">
        <f>C97</f>
        <v>Middle Income</v>
      </c>
      <c r="E118" s="226"/>
      <c r="F118" s="226"/>
      <c r="G118" s="226"/>
      <c r="H118" s="226"/>
      <c r="I118" s="226"/>
      <c r="J118" s="226"/>
      <c r="K118" s="226"/>
      <c r="M118" s="226"/>
      <c r="N118" s="226"/>
      <c r="O118" s="226"/>
      <c r="P118" s="226"/>
      <c r="Q118" s="226"/>
      <c r="S118" s="226"/>
      <c r="T118" s="226"/>
      <c r="U118" s="226"/>
      <c r="V118" s="226"/>
      <c r="W118" s="226"/>
    </row>
    <row r="119" spans="1:42">
      <c r="A119" s="225" t="s">
        <v>16</v>
      </c>
      <c r="C119" s="225" t="str">
        <f>C115</f>
        <v>BRT</v>
      </c>
      <c r="D119" s="225" t="s">
        <v>136</v>
      </c>
      <c r="E119" s="226">
        <f t="shared" ref="E119:K119" si="67">E$64*(1-E$73)*E68*(E81*E83+E97*E98)/1000</f>
        <v>0.40384907801434383</v>
      </c>
      <c r="F119" s="226">
        <f t="shared" si="67"/>
        <v>0.41934575263977059</v>
      </c>
      <c r="G119" s="226">
        <f t="shared" si="67"/>
        <v>0.43160422614690391</v>
      </c>
      <c r="H119" s="226">
        <f t="shared" si="67"/>
        <v>1.7726098247669002</v>
      </c>
      <c r="I119" s="226">
        <f t="shared" si="67"/>
        <v>4.883565152305243</v>
      </c>
      <c r="J119" s="226">
        <f t="shared" si="67"/>
        <v>11.355291704764293</v>
      </c>
      <c r="K119" s="226">
        <f t="shared" si="67"/>
        <v>19.543950598864392</v>
      </c>
      <c r="L119" s="286"/>
      <c r="M119" s="226">
        <f>M$64*(1-M$73)*M68*(M81*M83+M97*M98)/1000</f>
        <v>0.40384907801434383</v>
      </c>
      <c r="N119" s="226">
        <f>N$64*(1-N$73)*N68*(N81*N83+N97*N98)/1000</f>
        <v>1.7726098247669002</v>
      </c>
      <c r="O119" s="226">
        <f>O$64*(1-O$73)*O68*(O81*O83+O97*O98)/1000</f>
        <v>4.883565152305243</v>
      </c>
      <c r="P119" s="226">
        <f>P$64*(1-P$73)*P68*(P81*P83+P97*P98)/1000</f>
        <v>11.355291704764293</v>
      </c>
      <c r="Q119" s="226">
        <f>Q$64*(1-Q$73)*Q68*(Q81*Q83+Q97*Q98)/1000</f>
        <v>19.543950598864392</v>
      </c>
      <c r="R119" s="285"/>
      <c r="S119" s="226">
        <f>S$64*(1-S$73)*S68*(S81*S83+S97*S98)/1000</f>
        <v>0.40384907801434383</v>
      </c>
      <c r="T119" s="226">
        <f>T$64*(1-T$73)*T68*(T81*T83+T97*T98)/1000</f>
        <v>1.7726098247669002</v>
      </c>
      <c r="U119" s="226">
        <f>U$64*(1-U$73)*U68*(U81*U83+U97*U98)/1000</f>
        <v>6.8369912132273418</v>
      </c>
      <c r="V119" s="226">
        <f>V$64*(1-V$73)*V68*(V81*V83+V97*V98)/1000</f>
        <v>20.130611454804935</v>
      </c>
      <c r="W119" s="226">
        <f>W$64*(1-W$73)*W68*(W81*W83+W97*W98)/1000</f>
        <v>43.680306543364573</v>
      </c>
      <c r="X119" s="285"/>
      <c r="Y119" s="285"/>
      <c r="Z119" s="285"/>
      <c r="AA119" s="285"/>
      <c r="AB119" s="285"/>
      <c r="AC119" s="285"/>
      <c r="AD119" s="285"/>
      <c r="AE119" s="285"/>
      <c r="AF119" s="285"/>
      <c r="AG119" s="285"/>
      <c r="AH119" s="285"/>
      <c r="AI119" s="285"/>
      <c r="AJ119" s="285"/>
      <c r="AK119" s="285"/>
      <c r="AL119" s="285"/>
      <c r="AM119" s="285"/>
      <c r="AN119" s="285"/>
      <c r="AO119" s="285"/>
      <c r="AP119" s="285"/>
    </row>
    <row r="120" spans="1:42">
      <c r="A120" s="225" t="s">
        <v>16</v>
      </c>
      <c r="C120" s="225" t="str">
        <f>C116</f>
        <v>Gautrain</v>
      </c>
      <c r="D120" s="225" t="s">
        <v>136</v>
      </c>
      <c r="E120" s="226">
        <f t="shared" ref="E120:K120" si="68">E$64*(1-E$73)*E69*(E81*E84+E97*E99)/1000</f>
        <v>0.20319450466130506</v>
      </c>
      <c r="F120" s="226">
        <f t="shared" si="68"/>
        <v>0.2109915736552305</v>
      </c>
      <c r="G120" s="226">
        <f t="shared" si="68"/>
        <v>0.2171593590676246</v>
      </c>
      <c r="H120" s="226">
        <f t="shared" si="68"/>
        <v>0.23634797663558668</v>
      </c>
      <c r="I120" s="226">
        <f t="shared" si="68"/>
        <v>0.2604568081229463</v>
      </c>
      <c r="J120" s="226">
        <f t="shared" si="68"/>
        <v>0.30280777879371451</v>
      </c>
      <c r="K120" s="226">
        <f t="shared" si="68"/>
        <v>0.34744801064647812</v>
      </c>
      <c r="L120" s="286"/>
      <c r="M120" s="226">
        <f>M$64*(1-M$73)*M69*(M81*M84+M97*M99)/1000</f>
        <v>0.20319450466130506</v>
      </c>
      <c r="N120" s="226">
        <f>N$64*(1-N$73)*N69*(N81*N84+N97*N99)/1000</f>
        <v>0.23634797663558668</v>
      </c>
      <c r="O120" s="226">
        <f>O$64*(1-O$73)*O69*(O81*O84+O97*O99)/1000</f>
        <v>0.2604568081229463</v>
      </c>
      <c r="P120" s="226">
        <f>P$64*(1-P$73)*P69*(P81*P84+P97*P99)/1000</f>
        <v>0.30280777879371451</v>
      </c>
      <c r="Q120" s="226">
        <f>Q$64*(1-Q$73)*Q69*(Q81*Q84+Q97*Q99)/1000</f>
        <v>0.34744801064647812</v>
      </c>
      <c r="R120" s="285"/>
      <c r="S120" s="226">
        <f>S$64*(1-S$73)*S69*(S81*S84+S97*S99)/1000</f>
        <v>0.20319450466130506</v>
      </c>
      <c r="T120" s="226">
        <f>T$64*(1-T$73)*T69*(T81*T84+T97*T99)/1000</f>
        <v>0.23634797663558671</v>
      </c>
      <c r="U120" s="226">
        <f>U$64*(1-U$73)*U69*(U81*U84+U97*U99)/1000</f>
        <v>1.3022840406147314</v>
      </c>
      <c r="V120" s="226">
        <f>V$64*(1-V$73)*V69*(V81*V84+V97*V99)/1000</f>
        <v>3.028077787937145</v>
      </c>
      <c r="W120" s="226">
        <f>W$64*(1-W$73)*W69*(W81*W84+W97*W99)/1000</f>
        <v>5.2117201596971716</v>
      </c>
      <c r="X120" s="285"/>
      <c r="Y120" s="285"/>
      <c r="Z120" s="285"/>
      <c r="AA120" s="285"/>
      <c r="AB120" s="285"/>
      <c r="AC120" s="285"/>
      <c r="AD120" s="285"/>
      <c r="AE120" s="285"/>
      <c r="AF120" s="285"/>
      <c r="AG120" s="285"/>
      <c r="AH120" s="285"/>
      <c r="AI120" s="285"/>
      <c r="AJ120" s="285"/>
      <c r="AK120" s="285"/>
      <c r="AL120" s="285"/>
      <c r="AM120" s="285"/>
      <c r="AN120" s="285"/>
      <c r="AO120" s="285"/>
      <c r="AP120" s="285"/>
    </row>
    <row r="121" spans="1:42">
      <c r="A121" s="225" t="s">
        <v>16</v>
      </c>
      <c r="C121" s="225" t="str">
        <f>C117</f>
        <v>Bus, minibus, metro rail</v>
      </c>
      <c r="D121" s="225" t="s">
        <v>136</v>
      </c>
      <c r="E121" s="226">
        <f t="shared" ref="E121:K121" si="69">E$64*(1-E$73)*E70*(E81*E85+E97*E100)/1000</f>
        <v>36.102847849507413</v>
      </c>
      <c r="F121" s="226">
        <f t="shared" si="69"/>
        <v>37.488202222299208</v>
      </c>
      <c r="G121" s="226">
        <f t="shared" si="69"/>
        <v>38.584071516024657</v>
      </c>
      <c r="H121" s="226">
        <f t="shared" si="69"/>
        <v>41.124855281124248</v>
      </c>
      <c r="I121" s="226">
        <f t="shared" si="69"/>
        <v>43.36639725008876</v>
      </c>
      <c r="J121" s="226">
        <f t="shared" si="69"/>
        <v>46.63279170498501</v>
      </c>
      <c r="K121" s="226">
        <f t="shared" si="69"/>
        <v>49.164345327315992</v>
      </c>
      <c r="L121" s="286"/>
      <c r="M121" s="226">
        <f>M$64*(1-M$73)*M70*(M81*M85+M97*M100)/1000</f>
        <v>36.102847849507413</v>
      </c>
      <c r="N121" s="226">
        <f>N$64*(1-N$73)*N70*(N81*N85+N97*N100)/1000</f>
        <v>41.124855281124248</v>
      </c>
      <c r="O121" s="226">
        <f>O$64*(1-O$73)*O70*(O81*O85+O97*O100)/1000</f>
        <v>43.36639725008876</v>
      </c>
      <c r="P121" s="226">
        <f>P$64*(1-P$73)*P70*(P81*P85+P97*P100)/1000</f>
        <v>46.63279170498501</v>
      </c>
      <c r="Q121" s="226">
        <f>Q$64*(1-Q$73)*Q70*(Q81*Q85+Q97*Q100)/1000</f>
        <v>49.164345327315992</v>
      </c>
      <c r="R121" s="285"/>
      <c r="S121" s="226">
        <f>S$64*(1-S$73)*S70*(S81*S85+S97*S100)/1000</f>
        <v>36.102847849507413</v>
      </c>
      <c r="T121" s="226">
        <f>T$64*(1-T$73)*T70*(T81*T85+T97*T100)/1000</f>
        <v>43.144160743525561</v>
      </c>
      <c r="U121" s="226">
        <f>U$64*(1-U$73)*U70*(U81*U85+U97*U100)/1000</f>
        <v>45.724087886099412</v>
      </c>
      <c r="V121" s="226">
        <f>V$64*(1-V$73)*V70*(V81*V85+V97*V100)/1000</f>
        <v>46.278706177473218</v>
      </c>
      <c r="W121" s="226">
        <f>W$64*(1-W$73)*W70*(W81*W85+W97*W100)/1000</f>
        <v>40.525956899736926</v>
      </c>
      <c r="X121" s="285"/>
      <c r="Y121" s="285"/>
      <c r="Z121" s="285"/>
      <c r="AA121" s="285"/>
      <c r="AB121" s="285"/>
      <c r="AC121" s="285"/>
      <c r="AD121" s="285"/>
      <c r="AE121" s="285"/>
      <c r="AF121" s="285"/>
      <c r="AG121" s="285"/>
      <c r="AH121" s="285"/>
      <c r="AI121" s="285"/>
      <c r="AJ121" s="285"/>
      <c r="AK121" s="285"/>
      <c r="AL121" s="285"/>
      <c r="AM121" s="285"/>
      <c r="AN121" s="285"/>
      <c r="AO121" s="285"/>
      <c r="AP121" s="285"/>
    </row>
    <row r="122" spans="1:42">
      <c r="A122" s="225" t="s">
        <v>16</v>
      </c>
      <c r="C122" s="39" t="str">
        <f>C101</f>
        <v>High Income</v>
      </c>
      <c r="E122" s="226"/>
      <c r="F122" s="226"/>
      <c r="G122" s="226"/>
      <c r="H122" s="226"/>
      <c r="I122" s="226"/>
      <c r="J122" s="226"/>
      <c r="K122" s="226"/>
      <c r="M122" s="226"/>
      <c r="N122" s="226"/>
      <c r="O122" s="226"/>
      <c r="P122" s="226"/>
      <c r="Q122" s="226"/>
      <c r="S122" s="226"/>
      <c r="T122" s="226"/>
      <c r="U122" s="226"/>
      <c r="V122" s="226"/>
      <c r="W122" s="226"/>
    </row>
    <row r="123" spans="1:42">
      <c r="A123" s="225" t="s">
        <v>16</v>
      </c>
      <c r="C123" s="225" t="str">
        <f>C119</f>
        <v>BRT</v>
      </c>
      <c r="D123" s="225" t="s">
        <v>136</v>
      </c>
      <c r="E123" s="226">
        <f t="shared" ref="E123:K123" si="70">E$64*(1-E$73)*E68*(E86*E88+E101*E102)/1000</f>
        <v>0.10979972397555646</v>
      </c>
      <c r="F123" s="226">
        <f t="shared" si="70"/>
        <v>0.12149652355550013</v>
      </c>
      <c r="G123" s="226">
        <f t="shared" si="70"/>
        <v>0.12870009911343808</v>
      </c>
      <c r="H123" s="226">
        <f t="shared" si="70"/>
        <v>1.1074206562160143</v>
      </c>
      <c r="I123" s="226">
        <f t="shared" si="70"/>
        <v>2.283966589740452</v>
      </c>
      <c r="J123" s="226">
        <f t="shared" si="70"/>
        <v>3.545770017538556</v>
      </c>
      <c r="K123" s="226">
        <f t="shared" si="70"/>
        <v>5.1608990059387381</v>
      </c>
      <c r="L123" s="286"/>
      <c r="M123" s="226">
        <f>M$64*(1-M$73)*M68*(M86*M88+M101*M102)/1000</f>
        <v>0.10979972397555646</v>
      </c>
      <c r="N123" s="226">
        <f>N$64*(1-N$73)*N68*(N86*N88+N101*N102)/1000</f>
        <v>1.1074206562160143</v>
      </c>
      <c r="O123" s="226">
        <f>O$64*(1-O$73)*O68*(O86*O88+O101*O102)/1000</f>
        <v>2.283966589740452</v>
      </c>
      <c r="P123" s="226">
        <f>P$64*(1-P$73)*P68*(P86*P88+P101*P102)/1000</f>
        <v>3.545770017538556</v>
      </c>
      <c r="Q123" s="226">
        <f>Q$64*(1-Q$73)*Q68*(Q86*Q88+Q101*Q102)/1000</f>
        <v>5.1608990059387381</v>
      </c>
      <c r="R123" s="285"/>
      <c r="S123" s="226">
        <f>S$64*(1-S$73)*S68*(S86*S88+S101*S102)/1000</f>
        <v>0.10979972397555646</v>
      </c>
      <c r="T123" s="226">
        <f>T$64*(1-T$73)*T68*(T86*T88+T101*T102)/1000</f>
        <v>1.1074206562160143</v>
      </c>
      <c r="U123" s="226">
        <f>U$64*(1-U$73)*U68*(U86*U88+U101*U102)/1000</f>
        <v>3.0602580268074151</v>
      </c>
      <c r="V123" s="226">
        <f>V$64*(1-V$73)*V68*(V86*V88+V101*V102)/1000</f>
        <v>9.5161170012469185</v>
      </c>
      <c r="W123" s="226">
        <f>W$64*(1-W$73)*W68*(W86*W88+W101*W102)/1000</f>
        <v>25.575628886547154</v>
      </c>
      <c r="X123" s="285"/>
      <c r="Y123" s="285"/>
      <c r="Z123" s="285"/>
      <c r="AA123" s="285"/>
      <c r="AB123" s="285"/>
      <c r="AC123" s="285"/>
      <c r="AD123" s="285"/>
      <c r="AE123" s="285"/>
      <c r="AF123" s="285"/>
      <c r="AG123" s="285"/>
      <c r="AH123" s="285"/>
      <c r="AI123" s="285"/>
      <c r="AJ123" s="285"/>
      <c r="AK123" s="285"/>
      <c r="AL123" s="285"/>
      <c r="AM123" s="285"/>
      <c r="AN123" s="285"/>
      <c r="AO123" s="285"/>
      <c r="AP123" s="285"/>
    </row>
    <row r="124" spans="1:42">
      <c r="A124" s="225" t="s">
        <v>16</v>
      </c>
      <c r="C124" s="225" t="str">
        <f>C120</f>
        <v>Gautrain</v>
      </c>
      <c r="D124" s="225" t="s">
        <v>136</v>
      </c>
      <c r="E124" s="226">
        <f t="shared" ref="E124:K124" si="71">E$64*(1-E$73)*E69*(E86*E89+E101*E103)/1000</f>
        <v>0.3385491489246325</v>
      </c>
      <c r="F124" s="226">
        <f t="shared" si="71"/>
        <v>0.37461428096279209</v>
      </c>
      <c r="G124" s="226">
        <f t="shared" si="71"/>
        <v>0.39682530559976747</v>
      </c>
      <c r="H124" s="226">
        <f t="shared" si="71"/>
        <v>0.36914021873867148</v>
      </c>
      <c r="I124" s="226">
        <f t="shared" si="71"/>
        <v>0.50754813105343388</v>
      </c>
      <c r="J124" s="226">
        <f t="shared" si="71"/>
        <v>0.69691097290266446</v>
      </c>
      <c r="K124" s="226">
        <f t="shared" si="71"/>
        <v>0.9093012534273015</v>
      </c>
      <c r="L124" s="286"/>
      <c r="M124" s="226">
        <f>M$64*(1-M$73)*M69*(M86*M89+M101*M103)/1000</f>
        <v>0.3385491489246325</v>
      </c>
      <c r="N124" s="226">
        <f>N$64*(1-N$73)*N69*(N86*N89+N101*N103)/1000</f>
        <v>0.36914021873867148</v>
      </c>
      <c r="O124" s="226">
        <f>O$64*(1-O$73)*O69*(O86*O89+O101*O103)/1000</f>
        <v>0.50754813105343388</v>
      </c>
      <c r="P124" s="226">
        <f>P$64*(1-P$73)*P69*(P86*P89+P101*P103)/1000</f>
        <v>0.69691097290266446</v>
      </c>
      <c r="Q124" s="226">
        <f>Q$64*(1-Q$73)*Q69*(Q86*Q89+Q101*Q103)/1000</f>
        <v>0.9093012534273015</v>
      </c>
      <c r="R124" s="285"/>
      <c r="S124" s="226">
        <f>S$64*(1-S$73)*S69*(S86*S89+S101*S103)/1000</f>
        <v>0.3385491489246325</v>
      </c>
      <c r="T124" s="226">
        <f>T$64*(1-T$73)*T69*(T86*T89+T101*T103)/1000</f>
        <v>0.36914021873867148</v>
      </c>
      <c r="U124" s="226">
        <f>U$64*(1-U$73)*U69*(U86*U89+U101*U103)/1000</f>
        <v>1.0150962621068678</v>
      </c>
      <c r="V124" s="226">
        <f>V$64*(1-V$73)*V69*(V86*V89+V101*V103)/1000</f>
        <v>4.1814658374159874</v>
      </c>
      <c r="W124" s="226">
        <f>W$64*(1-W$73)*W69*(W86*W89+W101*W103)/1000</f>
        <v>9.0930125342730133</v>
      </c>
      <c r="X124" s="285"/>
      <c r="Y124" s="285"/>
      <c r="Z124" s="285"/>
      <c r="AA124" s="285"/>
      <c r="AB124" s="285"/>
      <c r="AC124" s="285"/>
      <c r="AD124" s="285"/>
      <c r="AE124" s="285"/>
      <c r="AF124" s="285"/>
      <c r="AG124" s="285"/>
      <c r="AH124" s="285"/>
      <c r="AI124" s="285"/>
      <c r="AJ124" s="285"/>
      <c r="AK124" s="285"/>
      <c r="AL124" s="285"/>
      <c r="AM124" s="285"/>
      <c r="AN124" s="285"/>
      <c r="AO124" s="285"/>
      <c r="AP124" s="285"/>
    </row>
    <row r="125" spans="1:42">
      <c r="A125" s="225" t="s">
        <v>16</v>
      </c>
      <c r="C125" s="225" t="str">
        <f>C121</f>
        <v>Bus, minibus, metro rail</v>
      </c>
      <c r="D125" s="225" t="s">
        <v>136</v>
      </c>
      <c r="E125" s="226">
        <f t="shared" ref="E125:K125" si="72">E$64*(1-E$73)*E70*(E86*E90+E101*E104)/1000</f>
        <v>11.882168707964999</v>
      </c>
      <c r="F125" s="226">
        <f t="shared" si="72"/>
        <v>13.147958283019715</v>
      </c>
      <c r="G125" s="226">
        <f t="shared" si="72"/>
        <v>14.231764627917631</v>
      </c>
      <c r="H125" s="226">
        <f t="shared" si="72"/>
        <v>12.580398810958288</v>
      </c>
      <c r="I125" s="226">
        <f t="shared" si="72"/>
        <v>15.520746686391435</v>
      </c>
      <c r="J125" s="226">
        <f t="shared" si="72"/>
        <v>18.333430309142773</v>
      </c>
      <c r="K125" s="226">
        <f t="shared" si="72"/>
        <v>19.271791431856968</v>
      </c>
      <c r="L125" s="286"/>
      <c r="M125" s="226">
        <f>M$64*(1-M$73)*M70*(M86*M90+M101*M104)/1000</f>
        <v>11.882168707964999</v>
      </c>
      <c r="N125" s="226">
        <f>N$64*(1-N$73)*N70*(N86*N90+N101*N104)/1000</f>
        <v>12.580398810958288</v>
      </c>
      <c r="O125" s="226">
        <f>O$64*(1-O$73)*O70*(O86*O90+O101*O104)/1000</f>
        <v>15.520746686391435</v>
      </c>
      <c r="P125" s="226">
        <f>P$64*(1-P$73)*P70*(P86*P90+P101*P104)/1000</f>
        <v>18.333430309142773</v>
      </c>
      <c r="Q125" s="226">
        <f>Q$64*(1-Q$73)*Q70*(Q86*Q90+Q101*Q104)/1000</f>
        <v>19.271791431856968</v>
      </c>
      <c r="R125" s="285"/>
      <c r="S125" s="226">
        <f>S$64*(1-S$73)*S70*(S86*S90+S101*S104)/1000</f>
        <v>11.882168707964999</v>
      </c>
      <c r="T125" s="226">
        <f>T$64*(1-T$73)*T70*(T86*T90+T101*T104)/1000</f>
        <v>14.058501578007059</v>
      </c>
      <c r="U125" s="226">
        <f>U$64*(1-U$73)*U70*(U86*U90+U101*U104)/1000</f>
        <v>20.292321982298976</v>
      </c>
      <c r="V125" s="226">
        <f>V$64*(1-V$73)*V70*(V86*V90+V101*V104)/1000</f>
        <v>25.775695736942108</v>
      </c>
      <c r="W125" s="226">
        <f>W$64*(1-W$73)*W70*(W86*W90+W101*W104)/1000</f>
        <v>26.48051565258573</v>
      </c>
      <c r="X125" s="285"/>
      <c r="Y125" s="285"/>
      <c r="Z125" s="285"/>
      <c r="AA125" s="285"/>
      <c r="AB125" s="285"/>
      <c r="AC125" s="285"/>
      <c r="AD125" s="285"/>
      <c r="AE125" s="285"/>
      <c r="AF125" s="285"/>
      <c r="AG125" s="285"/>
      <c r="AH125" s="285"/>
      <c r="AI125" s="285"/>
      <c r="AJ125" s="285"/>
      <c r="AK125" s="285"/>
      <c r="AL125" s="285"/>
      <c r="AM125" s="285"/>
      <c r="AN125" s="285"/>
      <c r="AO125" s="285"/>
      <c r="AP125" s="285"/>
    </row>
    <row r="126" spans="1:42">
      <c r="A126" s="225" t="s">
        <v>16</v>
      </c>
      <c r="C126" s="39" t="s">
        <v>5</v>
      </c>
      <c r="E126" s="226"/>
      <c r="F126" s="226"/>
      <c r="G126" s="226"/>
      <c r="H126" s="226"/>
      <c r="I126" s="226"/>
      <c r="J126" s="226"/>
      <c r="K126" s="226"/>
      <c r="M126" s="226"/>
      <c r="N126" s="226"/>
      <c r="O126" s="226"/>
      <c r="P126" s="226"/>
      <c r="Q126" s="226"/>
      <c r="S126" s="226"/>
      <c r="T126" s="226"/>
      <c r="U126" s="226"/>
      <c r="V126" s="226"/>
      <c r="W126" s="226"/>
    </row>
    <row r="127" spans="1:42">
      <c r="A127" s="225" t="s">
        <v>16</v>
      </c>
      <c r="C127" s="225" t="str">
        <f>C123</f>
        <v>BRT</v>
      </c>
      <c r="D127" s="225" t="s">
        <v>136</v>
      </c>
      <c r="E127" s="226">
        <f t="shared" ref="E127:K129" si="73">E115+E119+E123</f>
        <v>0.52634845853123191</v>
      </c>
      <c r="F127" s="226">
        <f t="shared" si="73"/>
        <v>0.55340682009375775</v>
      </c>
      <c r="G127" s="226">
        <f t="shared" si="73"/>
        <v>0.57281636929880952</v>
      </c>
      <c r="H127" s="226">
        <f t="shared" si="73"/>
        <v>5.475215047499999</v>
      </c>
      <c r="I127" s="226">
        <f t="shared" si="73"/>
        <v>13.516644844339696</v>
      </c>
      <c r="J127" s="226">
        <f t="shared" si="73"/>
        <v>25.939755973998579</v>
      </c>
      <c r="K127" s="226">
        <f t="shared" si="73"/>
        <v>38.720077328824445</v>
      </c>
      <c r="L127" s="286"/>
      <c r="M127" s="226">
        <f t="shared" ref="M127:Q129" si="74">M115+M119+M123</f>
        <v>0.52634845853123191</v>
      </c>
      <c r="N127" s="226">
        <f t="shared" si="74"/>
        <v>5.475215047499999</v>
      </c>
      <c r="O127" s="226">
        <f t="shared" si="74"/>
        <v>13.516644844339696</v>
      </c>
      <c r="P127" s="226">
        <f t="shared" si="74"/>
        <v>25.939755973998579</v>
      </c>
      <c r="Q127" s="226">
        <f t="shared" si="74"/>
        <v>38.720077328824445</v>
      </c>
      <c r="R127" s="285"/>
      <c r="S127" s="226">
        <f t="shared" ref="S127:W129" si="75">S115+S119+S123</f>
        <v>0.52634845853123191</v>
      </c>
      <c r="T127" s="226">
        <f t="shared" si="75"/>
        <v>5.475215047499999</v>
      </c>
      <c r="U127" s="226">
        <f t="shared" si="75"/>
        <v>18.786007583246356</v>
      </c>
      <c r="V127" s="226">
        <f t="shared" si="75"/>
        <v>51.503343074409401</v>
      </c>
      <c r="W127" s="226">
        <f t="shared" si="75"/>
        <v>106.06926691834104</v>
      </c>
      <c r="X127" s="285"/>
      <c r="Y127" s="285"/>
      <c r="Z127" s="285"/>
      <c r="AA127" s="285"/>
      <c r="AB127" s="285"/>
      <c r="AC127" s="285"/>
      <c r="AD127" s="285"/>
      <c r="AE127" s="285"/>
      <c r="AF127" s="285"/>
      <c r="AG127" s="285"/>
      <c r="AH127" s="285"/>
      <c r="AI127" s="285"/>
      <c r="AJ127" s="285"/>
      <c r="AK127" s="285"/>
      <c r="AL127" s="285"/>
      <c r="AM127" s="285"/>
      <c r="AN127" s="285"/>
      <c r="AO127" s="285"/>
      <c r="AP127" s="285"/>
    </row>
    <row r="128" spans="1:42">
      <c r="A128" s="225" t="s">
        <v>16</v>
      </c>
      <c r="C128" s="225" t="str">
        <f>C124</f>
        <v>Gautrain</v>
      </c>
      <c r="D128" s="225" t="s">
        <v>136</v>
      </c>
      <c r="E128" s="226">
        <f t="shared" si="73"/>
        <v>0.54174365358593757</v>
      </c>
      <c r="F128" s="226">
        <f t="shared" si="73"/>
        <v>0.58560585461802261</v>
      </c>
      <c r="G128" s="226">
        <f t="shared" si="73"/>
        <v>0.6139846646673921</v>
      </c>
      <c r="H128" s="226">
        <f t="shared" si="73"/>
        <v>0.60548819537425813</v>
      </c>
      <c r="I128" s="226">
        <f t="shared" si="73"/>
        <v>0.76800493917638013</v>
      </c>
      <c r="J128" s="226">
        <f t="shared" si="73"/>
        <v>0.99971875169637903</v>
      </c>
      <c r="K128" s="226">
        <f t="shared" si="73"/>
        <v>1.2567492640737796</v>
      </c>
      <c r="L128" s="286"/>
      <c r="M128" s="226">
        <f t="shared" si="74"/>
        <v>0.54174365358593757</v>
      </c>
      <c r="N128" s="226">
        <f t="shared" si="74"/>
        <v>0.60548819537425813</v>
      </c>
      <c r="O128" s="226">
        <f t="shared" si="74"/>
        <v>0.76800493917638013</v>
      </c>
      <c r="P128" s="226">
        <f t="shared" si="74"/>
        <v>0.99971875169637903</v>
      </c>
      <c r="Q128" s="226">
        <f t="shared" si="74"/>
        <v>1.2567492640737796</v>
      </c>
      <c r="R128" s="285"/>
      <c r="S128" s="226">
        <f t="shared" si="75"/>
        <v>0.54174365358593757</v>
      </c>
      <c r="T128" s="226">
        <f t="shared" si="75"/>
        <v>0.60548819537425813</v>
      </c>
      <c r="U128" s="226">
        <f t="shared" si="75"/>
        <v>2.3173803027215989</v>
      </c>
      <c r="V128" s="226">
        <f t="shared" si="75"/>
        <v>7.2095436253531329</v>
      </c>
      <c r="W128" s="226">
        <f t="shared" si="75"/>
        <v>14.304732693970184</v>
      </c>
      <c r="X128" s="285"/>
      <c r="Y128" s="285"/>
      <c r="Z128" s="285"/>
      <c r="AA128" s="285"/>
      <c r="AB128" s="285"/>
      <c r="AC128" s="285"/>
      <c r="AD128" s="285"/>
      <c r="AE128" s="285"/>
      <c r="AF128" s="285"/>
      <c r="AG128" s="285"/>
      <c r="AH128" s="285"/>
      <c r="AI128" s="285"/>
      <c r="AJ128" s="285"/>
      <c r="AK128" s="285"/>
      <c r="AL128" s="285"/>
      <c r="AM128" s="285"/>
      <c r="AN128" s="285"/>
      <c r="AO128" s="285"/>
      <c r="AP128" s="285"/>
    </row>
    <row r="129" spans="1:42">
      <c r="A129" s="225" t="s">
        <v>16</v>
      </c>
      <c r="C129" s="225" t="str">
        <f>C125</f>
        <v>Bus, minibus, metro rail</v>
      </c>
      <c r="D129" s="225" t="s">
        <v>136</v>
      </c>
      <c r="E129" s="226">
        <f t="shared" si="73"/>
        <v>132.60646866057317</v>
      </c>
      <c r="F129" s="226">
        <f t="shared" si="73"/>
        <v>133.96564478251847</v>
      </c>
      <c r="G129" s="226">
        <f t="shared" si="73"/>
        <v>135.79713537794507</v>
      </c>
      <c r="H129" s="226">
        <f t="shared" si="73"/>
        <v>138.04157782301667</v>
      </c>
      <c r="I129" s="226">
        <f t="shared" si="73"/>
        <v>138.87894788925254</v>
      </c>
      <c r="J129" s="226">
        <f t="shared" si="73"/>
        <v>130.82432750582055</v>
      </c>
      <c r="K129" s="226">
        <f t="shared" si="73"/>
        <v>121.06593687648123</v>
      </c>
      <c r="L129" s="286"/>
      <c r="M129" s="226">
        <f t="shared" si="74"/>
        <v>132.21058325028</v>
      </c>
      <c r="N129" s="226">
        <f t="shared" si="74"/>
        <v>138.04157782301667</v>
      </c>
      <c r="O129" s="226">
        <f t="shared" si="74"/>
        <v>138.87894788925254</v>
      </c>
      <c r="P129" s="226">
        <f t="shared" si="74"/>
        <v>130.82432750582055</v>
      </c>
      <c r="Q129" s="226">
        <f t="shared" si="74"/>
        <v>121.06593687648123</v>
      </c>
      <c r="R129" s="285"/>
      <c r="S129" s="226">
        <f t="shared" si="75"/>
        <v>132.21058325028</v>
      </c>
      <c r="T129" s="226">
        <f t="shared" si="75"/>
        <v>140.75842644822222</v>
      </c>
      <c r="U129" s="226">
        <f t="shared" si="75"/>
        <v>143.82485931836175</v>
      </c>
      <c r="V129" s="226">
        <f t="shared" si="75"/>
        <v>130.48239854357871</v>
      </c>
      <c r="W129" s="226">
        <f t="shared" si="75"/>
        <v>104.29044220968032</v>
      </c>
      <c r="X129" s="285"/>
      <c r="Y129" s="285"/>
      <c r="Z129" s="285"/>
      <c r="AA129" s="285"/>
      <c r="AB129" s="285"/>
      <c r="AC129" s="285"/>
      <c r="AD129" s="285"/>
      <c r="AE129" s="285"/>
      <c r="AF129" s="285"/>
      <c r="AG129" s="285"/>
      <c r="AH129" s="285"/>
      <c r="AI129" s="285"/>
      <c r="AJ129" s="285"/>
      <c r="AK129" s="285"/>
      <c r="AL129" s="285"/>
      <c r="AM129" s="285"/>
      <c r="AN129" s="285"/>
      <c r="AO129" s="285"/>
      <c r="AP129" s="285"/>
    </row>
    <row r="130" spans="1:42">
      <c r="A130" s="225" t="s">
        <v>16</v>
      </c>
    </row>
    <row r="131" spans="1:42" ht="15.75" thickBot="1">
      <c r="A131" s="225" t="s">
        <v>16</v>
      </c>
      <c r="C131" s="270" t="s">
        <v>175</v>
      </c>
      <c r="E131" s="275"/>
      <c r="F131" s="275"/>
      <c r="G131" s="275"/>
      <c r="H131" s="275"/>
      <c r="I131" s="275"/>
      <c r="J131" s="275"/>
      <c r="K131" s="275"/>
      <c r="S131" s="225" t="s">
        <v>205</v>
      </c>
    </row>
    <row r="132" spans="1:42">
      <c r="A132" s="225" t="s">
        <v>16</v>
      </c>
      <c r="C132" s="271" t="s">
        <v>100</v>
      </c>
      <c r="E132" s="73">
        <f>[3]Calib_1011!M77</f>
        <v>0.86657939364773595</v>
      </c>
      <c r="F132" s="274">
        <f t="shared" ref="F132:G133" si="76">E132</f>
        <v>0.86657939364773595</v>
      </c>
      <c r="G132" s="274">
        <f t="shared" si="76"/>
        <v>0.86657939364773595</v>
      </c>
      <c r="H132" s="274">
        <f>1-H133-H134</f>
        <v>0.87549807858580153</v>
      </c>
      <c r="I132" s="274">
        <f>1-I133-I134</f>
        <v>0.87549807858580153</v>
      </c>
      <c r="J132" s="274">
        <f>1-J133-J134</f>
        <v>0.87549807858580153</v>
      </c>
      <c r="K132" s="274">
        <f>1-K133-K134</f>
        <v>0.87549807858580153</v>
      </c>
      <c r="M132" s="274">
        <f>1-M133-M134</f>
        <v>0.87549807858580153</v>
      </c>
      <c r="N132" s="274">
        <f>1-N133-N134</f>
        <v>0.87549807858580153</v>
      </c>
      <c r="O132" s="274">
        <f>1-O133-O134</f>
        <v>0.87549807858580153</v>
      </c>
      <c r="P132" s="274">
        <f>1-P133-P134</f>
        <v>0.87549807858580153</v>
      </c>
      <c r="Q132" s="274">
        <f>1-Q133-Q134</f>
        <v>0.87549807858580153</v>
      </c>
      <c r="S132" s="274">
        <f>1-S133-S134</f>
        <v>0.87549807858580153</v>
      </c>
      <c r="T132" s="274">
        <f>1-T133-T134</f>
        <v>0.875</v>
      </c>
      <c r="U132" s="274">
        <f>1-U133-U134</f>
        <v>0.88500000000000001</v>
      </c>
      <c r="V132" s="274">
        <f>1-V133-V134</f>
        <v>0.89500000000000002</v>
      </c>
      <c r="W132" s="274">
        <f>1-W133-W134</f>
        <v>0.89500000000000002</v>
      </c>
    </row>
    <row r="133" spans="1:42">
      <c r="A133" s="225" t="s">
        <v>16</v>
      </c>
      <c r="C133" s="271" t="s">
        <v>99</v>
      </c>
      <c r="E133" s="73">
        <f>[3]Calib_1011!M78</f>
        <v>9.950192141419846E-2</v>
      </c>
      <c r="F133" s="66">
        <f t="shared" si="76"/>
        <v>9.950192141419846E-2</v>
      </c>
      <c r="G133" s="66">
        <f t="shared" si="76"/>
        <v>9.950192141419846E-2</v>
      </c>
      <c r="H133" s="66">
        <f t="shared" ref="H133:K134" si="77">IF($D$4,T133,N133)</f>
        <v>9.950192141419846E-2</v>
      </c>
      <c r="I133" s="66">
        <f t="shared" si="77"/>
        <v>9.950192141419846E-2</v>
      </c>
      <c r="J133" s="66">
        <f t="shared" si="77"/>
        <v>9.950192141419846E-2</v>
      </c>
      <c r="K133" s="66">
        <f t="shared" si="77"/>
        <v>9.950192141419846E-2</v>
      </c>
      <c r="M133" s="274">
        <f>$F133</f>
        <v>9.950192141419846E-2</v>
      </c>
      <c r="N133" s="74">
        <f>M133</f>
        <v>9.950192141419846E-2</v>
      </c>
      <c r="O133" s="74">
        <f t="shared" ref="O133:Q134" si="78">N133</f>
        <v>9.950192141419846E-2</v>
      </c>
      <c r="P133" s="74">
        <f t="shared" si="78"/>
        <v>9.950192141419846E-2</v>
      </c>
      <c r="Q133" s="74">
        <f t="shared" si="78"/>
        <v>9.950192141419846E-2</v>
      </c>
      <c r="S133" s="274">
        <f>$F133</f>
        <v>9.950192141419846E-2</v>
      </c>
      <c r="T133" s="84">
        <v>0.1</v>
      </c>
      <c r="U133" s="84">
        <v>0.09</v>
      </c>
      <c r="V133" s="84">
        <v>0.08</v>
      </c>
      <c r="W133" s="74">
        <f>V133</f>
        <v>0.08</v>
      </c>
    </row>
    <row r="134" spans="1:42">
      <c r="A134" s="225" t="s">
        <v>16</v>
      </c>
      <c r="C134" s="271" t="s">
        <v>176</v>
      </c>
      <c r="E134" s="73">
        <f>[3]Calib_1011!M79</f>
        <v>3.3918684938065609E-2</v>
      </c>
      <c r="F134" s="160">
        <v>2.5000000000000001E-2</v>
      </c>
      <c r="G134" s="160">
        <v>2.5000000000000001E-2</v>
      </c>
      <c r="H134" s="66">
        <f t="shared" si="77"/>
        <v>2.5000000000000001E-2</v>
      </c>
      <c r="I134" s="66">
        <f t="shared" si="77"/>
        <v>2.5000000000000001E-2</v>
      </c>
      <c r="J134" s="66">
        <f t="shared" si="77"/>
        <v>2.5000000000000001E-2</v>
      </c>
      <c r="K134" s="66">
        <f t="shared" si="77"/>
        <v>2.5000000000000001E-2</v>
      </c>
      <c r="M134" s="274">
        <f>$F134</f>
        <v>2.5000000000000001E-2</v>
      </c>
      <c r="N134" s="74">
        <f>M134</f>
        <v>2.5000000000000001E-2</v>
      </c>
      <c r="O134" s="74">
        <f t="shared" si="78"/>
        <v>2.5000000000000001E-2</v>
      </c>
      <c r="P134" s="74">
        <f t="shared" si="78"/>
        <v>2.5000000000000001E-2</v>
      </c>
      <c r="Q134" s="74">
        <f t="shared" si="78"/>
        <v>2.5000000000000001E-2</v>
      </c>
      <c r="S134" s="274">
        <f>$F134</f>
        <v>2.5000000000000001E-2</v>
      </c>
      <c r="T134" s="74">
        <f>S134</f>
        <v>2.5000000000000001E-2</v>
      </c>
      <c r="U134" s="74">
        <f>T134</f>
        <v>2.5000000000000001E-2</v>
      </c>
      <c r="V134" s="74">
        <f>U134</f>
        <v>2.5000000000000001E-2</v>
      </c>
      <c r="W134" s="74">
        <f>V134</f>
        <v>2.5000000000000001E-2</v>
      </c>
    </row>
    <row r="135" spans="1:42">
      <c r="A135" s="225" t="s">
        <v>16</v>
      </c>
      <c r="C135" s="271"/>
      <c r="E135" s="275"/>
      <c r="F135" s="275"/>
      <c r="G135" s="275"/>
      <c r="H135" s="275"/>
      <c r="I135" s="275"/>
      <c r="J135" s="275"/>
      <c r="K135" s="275"/>
    </row>
    <row r="136" spans="1:42" ht="15.75" thickBot="1">
      <c r="A136" s="225" t="s">
        <v>16</v>
      </c>
      <c r="C136" s="270" t="s">
        <v>185</v>
      </c>
      <c r="E136" s="275"/>
      <c r="F136" s="275"/>
      <c r="G136" s="275"/>
      <c r="H136" s="275"/>
      <c r="I136" s="275"/>
      <c r="J136" s="275"/>
      <c r="K136" s="275"/>
    </row>
    <row r="137" spans="1:42">
      <c r="A137" s="225" t="s">
        <v>16</v>
      </c>
      <c r="C137" s="271" t="s">
        <v>62</v>
      </c>
      <c r="E137" s="73">
        <f>[3]Calib_1011!M71</f>
        <v>0.12640977128296399</v>
      </c>
      <c r="F137" s="274">
        <f t="shared" ref="F137:G139" si="79">E137</f>
        <v>0.12640977128296399</v>
      </c>
      <c r="G137" s="274">
        <f t="shared" si="79"/>
        <v>0.12640977128296399</v>
      </c>
      <c r="H137" s="274">
        <f>1-H138-H139</f>
        <v>0.12640977128296407</v>
      </c>
      <c r="I137" s="274">
        <f>1-I138-I139</f>
        <v>0.16068497455047467</v>
      </c>
      <c r="J137" s="274">
        <f>1-J138-J139</f>
        <v>0.14068497455047468</v>
      </c>
      <c r="K137" s="274">
        <f>1-K138-K139</f>
        <v>0.10568497455047468</v>
      </c>
      <c r="M137" s="274">
        <f>1-M138-M139</f>
        <v>0.12640977128296407</v>
      </c>
      <c r="N137" s="274">
        <f>1-N138-N139</f>
        <v>0.12640977128296407</v>
      </c>
      <c r="O137" s="274">
        <f>1-O138-O139</f>
        <v>0.16068497455047467</v>
      </c>
      <c r="P137" s="274">
        <f>1-P138-P139</f>
        <v>0.14068497455047468</v>
      </c>
      <c r="Q137" s="274">
        <f>1-Q138-Q139</f>
        <v>0.10568497455047468</v>
      </c>
      <c r="S137" s="274">
        <f>1-S138-S139</f>
        <v>0.12640977128296407</v>
      </c>
      <c r="T137" s="274">
        <f>1-T138-T139</f>
        <v>0.12640977128296407</v>
      </c>
      <c r="U137" s="274">
        <f>1-U138-U139</f>
        <v>0.16068497455047467</v>
      </c>
      <c r="V137" s="274">
        <f>1-V138-V139</f>
        <v>0.14068497455047468</v>
      </c>
      <c r="W137" s="274">
        <f>1-W138-W139</f>
        <v>8.5684974550474663E-2</v>
      </c>
    </row>
    <row r="138" spans="1:42">
      <c r="A138" s="225" t="s">
        <v>16</v>
      </c>
      <c r="C138" s="271" t="s">
        <v>184</v>
      </c>
      <c r="E138" s="73">
        <f>[3]Calib_1011!M72</f>
        <v>0.74431502544952532</v>
      </c>
      <c r="F138" s="66">
        <f t="shared" si="79"/>
        <v>0.74431502544952532</v>
      </c>
      <c r="G138" s="66">
        <f t="shared" si="79"/>
        <v>0.74431502544952532</v>
      </c>
      <c r="H138" s="66">
        <f t="shared" ref="H138:K139" si="80">IF($D$4,T138,N138)</f>
        <v>0.74431502544952532</v>
      </c>
      <c r="I138" s="66">
        <f t="shared" si="80"/>
        <v>0.74431502544952532</v>
      </c>
      <c r="J138" s="66">
        <f t="shared" si="80"/>
        <v>0.74431502544952532</v>
      </c>
      <c r="K138" s="66">
        <f t="shared" si="80"/>
        <v>0.74431502544952532</v>
      </c>
      <c r="M138" s="274">
        <f>$F138</f>
        <v>0.74431502544952532</v>
      </c>
      <c r="N138" s="74">
        <f>M138</f>
        <v>0.74431502544952532</v>
      </c>
      <c r="O138" s="74">
        <f t="shared" ref="O138:Q138" si="81">N138</f>
        <v>0.74431502544952532</v>
      </c>
      <c r="P138" s="74">
        <f t="shared" si="81"/>
        <v>0.74431502544952532</v>
      </c>
      <c r="Q138" s="74">
        <f t="shared" si="81"/>
        <v>0.74431502544952532</v>
      </c>
      <c r="S138" s="274">
        <f>$F138</f>
        <v>0.74431502544952532</v>
      </c>
      <c r="T138" s="74">
        <f t="shared" ref="T138:W139" si="82">S138</f>
        <v>0.74431502544952532</v>
      </c>
      <c r="U138" s="74">
        <f t="shared" si="82"/>
        <v>0.74431502544952532</v>
      </c>
      <c r="V138" s="74">
        <f t="shared" si="82"/>
        <v>0.74431502544952532</v>
      </c>
      <c r="W138" s="74">
        <f t="shared" si="82"/>
        <v>0.74431502544952532</v>
      </c>
    </row>
    <row r="139" spans="1:42">
      <c r="A139" s="225" t="s">
        <v>16</v>
      </c>
      <c r="C139" s="271" t="s">
        <v>186</v>
      </c>
      <c r="E139" s="73">
        <f>[3]Calib_1011!M73</f>
        <v>0.1292752032675106</v>
      </c>
      <c r="F139" s="66">
        <f t="shared" si="79"/>
        <v>0.1292752032675106</v>
      </c>
      <c r="G139" s="66">
        <f t="shared" si="79"/>
        <v>0.1292752032675106</v>
      </c>
      <c r="H139" s="66">
        <f t="shared" si="80"/>
        <v>0.1292752032675106</v>
      </c>
      <c r="I139" s="66">
        <f t="shared" si="80"/>
        <v>9.5000000000000001E-2</v>
      </c>
      <c r="J139" s="66">
        <f t="shared" si="80"/>
        <v>0.115</v>
      </c>
      <c r="K139" s="66">
        <f t="shared" si="80"/>
        <v>0.15</v>
      </c>
      <c r="M139" s="274">
        <f>$F139</f>
        <v>0.1292752032675106</v>
      </c>
      <c r="N139" s="74">
        <f>M139</f>
        <v>0.1292752032675106</v>
      </c>
      <c r="O139" s="74">
        <v>9.5000000000000001E-2</v>
      </c>
      <c r="P139" s="74">
        <v>0.115</v>
      </c>
      <c r="Q139" s="74">
        <v>0.15</v>
      </c>
      <c r="S139" s="274">
        <f>$F139</f>
        <v>0.1292752032675106</v>
      </c>
      <c r="T139" s="74">
        <f t="shared" si="82"/>
        <v>0.1292752032675106</v>
      </c>
      <c r="U139" s="74">
        <v>9.5000000000000001E-2</v>
      </c>
      <c r="V139" s="74">
        <v>0.115</v>
      </c>
      <c r="W139" s="84">
        <v>0.17</v>
      </c>
    </row>
    <row r="140" spans="1:42">
      <c r="A140" s="225" t="s">
        <v>16</v>
      </c>
      <c r="C140" s="271"/>
      <c r="E140" s="275"/>
      <c r="F140" s="275"/>
      <c r="G140" s="275"/>
      <c r="H140" s="275"/>
      <c r="I140" s="275"/>
      <c r="J140" s="275"/>
      <c r="K140" s="275"/>
    </row>
    <row r="141" spans="1:42" ht="15.75" thickBot="1">
      <c r="A141" s="225" t="s">
        <v>16</v>
      </c>
      <c r="C141" s="270" t="s">
        <v>196</v>
      </c>
      <c r="E141" s="275"/>
      <c r="F141" s="275"/>
      <c r="G141" s="275"/>
      <c r="H141" s="275"/>
      <c r="I141" s="275"/>
      <c r="J141" s="275"/>
      <c r="K141" s="275"/>
      <c r="S141" s="225" t="s">
        <v>206</v>
      </c>
    </row>
    <row r="142" spans="1:42">
      <c r="A142" s="225" t="s">
        <v>16</v>
      </c>
      <c r="C142" s="225" t="s">
        <v>62</v>
      </c>
      <c r="D142" s="225" t="s">
        <v>96</v>
      </c>
      <c r="E142" s="289">
        <f>[3]Calib_1011!$K$71</f>
        <v>25</v>
      </c>
      <c r="F142" s="290">
        <f t="shared" ref="F142:G144" si="83">E142</f>
        <v>25</v>
      </c>
      <c r="G142" s="290">
        <f t="shared" si="83"/>
        <v>25</v>
      </c>
      <c r="H142" s="290">
        <f t="shared" ref="H142:K144" si="84">IF($D$4,T142,N142)</f>
        <v>25</v>
      </c>
      <c r="I142" s="290">
        <f t="shared" si="84"/>
        <v>25</v>
      </c>
      <c r="J142" s="290">
        <f t="shared" si="84"/>
        <v>25</v>
      </c>
      <c r="K142" s="290">
        <f t="shared" si="84"/>
        <v>25</v>
      </c>
      <c r="L142" s="291"/>
      <c r="M142" s="292">
        <f>$F142</f>
        <v>25</v>
      </c>
      <c r="N142" s="48">
        <f>M142</f>
        <v>25</v>
      </c>
      <c r="O142" s="48">
        <f t="shared" ref="O142:Q144" si="85">N142</f>
        <v>25</v>
      </c>
      <c r="P142" s="48">
        <f t="shared" si="85"/>
        <v>25</v>
      </c>
      <c r="Q142" s="48">
        <f t="shared" si="85"/>
        <v>25</v>
      </c>
      <c r="R142" s="293"/>
      <c r="S142" s="292">
        <f>$F142</f>
        <v>25</v>
      </c>
      <c r="T142" s="85">
        <f t="shared" ref="T142:V144" si="86">S142*1.05</f>
        <v>26.25</v>
      </c>
      <c r="U142" s="85">
        <f t="shared" si="86"/>
        <v>27.5625</v>
      </c>
      <c r="V142" s="85">
        <f t="shared" si="86"/>
        <v>28.940625000000001</v>
      </c>
      <c r="W142" s="83">
        <f>V142</f>
        <v>28.940625000000001</v>
      </c>
      <c r="X142" s="293"/>
      <c r="Y142" s="293"/>
      <c r="Z142" s="293"/>
      <c r="AA142" s="293"/>
      <c r="AB142" s="293"/>
      <c r="AC142" s="293"/>
      <c r="AD142" s="293"/>
      <c r="AE142" s="293"/>
      <c r="AF142" s="293"/>
      <c r="AG142" s="293"/>
      <c r="AH142" s="293"/>
      <c r="AI142" s="293"/>
      <c r="AJ142" s="293"/>
      <c r="AK142" s="293"/>
      <c r="AL142" s="293"/>
      <c r="AM142" s="293"/>
      <c r="AN142" s="293"/>
      <c r="AO142" s="293"/>
      <c r="AP142" s="293"/>
    </row>
    <row r="143" spans="1:42">
      <c r="A143" s="225" t="s">
        <v>16</v>
      </c>
      <c r="C143" s="225" t="s">
        <v>184</v>
      </c>
      <c r="D143" s="225" t="s">
        <v>96</v>
      </c>
      <c r="E143" s="289">
        <f>[3]Calib_1011!$K$72</f>
        <v>14</v>
      </c>
      <c r="F143" s="290">
        <f t="shared" si="83"/>
        <v>14</v>
      </c>
      <c r="G143" s="290">
        <f t="shared" si="83"/>
        <v>14</v>
      </c>
      <c r="H143" s="290">
        <f t="shared" si="84"/>
        <v>14</v>
      </c>
      <c r="I143" s="290">
        <f t="shared" si="84"/>
        <v>14</v>
      </c>
      <c r="J143" s="290">
        <f t="shared" si="84"/>
        <v>14</v>
      </c>
      <c r="K143" s="290">
        <f t="shared" si="84"/>
        <v>14</v>
      </c>
      <c r="L143" s="291"/>
      <c r="M143" s="292">
        <f>$F143</f>
        <v>14</v>
      </c>
      <c r="N143" s="48">
        <f>M143</f>
        <v>14</v>
      </c>
      <c r="O143" s="48">
        <f t="shared" si="85"/>
        <v>14</v>
      </c>
      <c r="P143" s="48">
        <f t="shared" si="85"/>
        <v>14</v>
      </c>
      <c r="Q143" s="48">
        <f t="shared" si="85"/>
        <v>14</v>
      </c>
      <c r="R143" s="293"/>
      <c r="S143" s="292">
        <f>$F143</f>
        <v>14</v>
      </c>
      <c r="T143" s="85">
        <f t="shared" si="86"/>
        <v>14.700000000000001</v>
      </c>
      <c r="U143" s="85">
        <f t="shared" si="86"/>
        <v>15.435000000000002</v>
      </c>
      <c r="V143" s="85">
        <f t="shared" si="86"/>
        <v>16.206750000000003</v>
      </c>
      <c r="W143" s="83">
        <f>V143</f>
        <v>16.206750000000003</v>
      </c>
      <c r="X143" s="293"/>
      <c r="Y143" s="293"/>
      <c r="Z143" s="293"/>
      <c r="AA143" s="293"/>
      <c r="AB143" s="293"/>
      <c r="AC143" s="293"/>
      <c r="AD143" s="293"/>
      <c r="AE143" s="293"/>
      <c r="AF143" s="293"/>
      <c r="AG143" s="293"/>
      <c r="AH143" s="293"/>
      <c r="AI143" s="293"/>
      <c r="AJ143" s="293"/>
      <c r="AK143" s="293"/>
      <c r="AL143" s="293"/>
      <c r="AM143" s="293"/>
      <c r="AN143" s="293"/>
      <c r="AO143" s="293"/>
      <c r="AP143" s="293"/>
    </row>
    <row r="144" spans="1:42">
      <c r="A144" s="225" t="s">
        <v>16</v>
      </c>
      <c r="C144" s="225" t="s">
        <v>63</v>
      </c>
      <c r="D144" s="225" t="s">
        <v>96</v>
      </c>
      <c r="E144" s="289">
        <f>E142</f>
        <v>25</v>
      </c>
      <c r="F144" s="290">
        <f t="shared" si="83"/>
        <v>25</v>
      </c>
      <c r="G144" s="290">
        <f t="shared" si="83"/>
        <v>25</v>
      </c>
      <c r="H144" s="290">
        <f t="shared" si="84"/>
        <v>25</v>
      </c>
      <c r="I144" s="290">
        <f t="shared" si="84"/>
        <v>25</v>
      </c>
      <c r="J144" s="290">
        <f t="shared" si="84"/>
        <v>25</v>
      </c>
      <c r="K144" s="290">
        <f t="shared" si="84"/>
        <v>25</v>
      </c>
      <c r="L144" s="291"/>
      <c r="M144" s="292">
        <f>$F144</f>
        <v>25</v>
      </c>
      <c r="N144" s="48">
        <f>M144</f>
        <v>25</v>
      </c>
      <c r="O144" s="48">
        <f t="shared" si="85"/>
        <v>25</v>
      </c>
      <c r="P144" s="48">
        <f t="shared" si="85"/>
        <v>25</v>
      </c>
      <c r="Q144" s="48">
        <f t="shared" si="85"/>
        <v>25</v>
      </c>
      <c r="R144" s="293"/>
      <c r="S144" s="292">
        <f>$F144</f>
        <v>25</v>
      </c>
      <c r="T144" s="85">
        <f t="shared" si="86"/>
        <v>26.25</v>
      </c>
      <c r="U144" s="85">
        <f t="shared" si="86"/>
        <v>27.5625</v>
      </c>
      <c r="V144" s="85">
        <f t="shared" si="86"/>
        <v>28.940625000000001</v>
      </c>
      <c r="W144" s="83">
        <f>V144</f>
        <v>28.940625000000001</v>
      </c>
      <c r="X144" s="293"/>
      <c r="Y144" s="293"/>
      <c r="Z144" s="293"/>
      <c r="AA144" s="293"/>
      <c r="AB144" s="293"/>
      <c r="AC144" s="293"/>
      <c r="AD144" s="293"/>
      <c r="AE144" s="293"/>
      <c r="AF144" s="293"/>
      <c r="AG144" s="293"/>
      <c r="AH144" s="293"/>
      <c r="AI144" s="293"/>
      <c r="AJ144" s="293"/>
      <c r="AK144" s="293"/>
      <c r="AL144" s="293"/>
      <c r="AM144" s="293"/>
      <c r="AN144" s="293"/>
      <c r="AO144" s="293"/>
      <c r="AP144" s="293"/>
    </row>
    <row r="145" spans="1:42">
      <c r="A145" s="225" t="s">
        <v>16</v>
      </c>
      <c r="C145" s="271"/>
      <c r="E145" s="275"/>
      <c r="F145" s="275"/>
      <c r="G145" s="275"/>
      <c r="H145" s="275"/>
      <c r="I145" s="275"/>
      <c r="J145" s="275"/>
      <c r="K145" s="275"/>
    </row>
    <row r="146" spans="1:42">
      <c r="A146" s="225" t="s">
        <v>16</v>
      </c>
    </row>
    <row r="147" spans="1:42">
      <c r="A147" s="225" t="s">
        <v>16</v>
      </c>
      <c r="E147" s="30"/>
      <c r="F147" s="30"/>
      <c r="G147" s="30"/>
      <c r="H147" s="30"/>
      <c r="I147" s="30"/>
      <c r="J147" s="30"/>
      <c r="K147" s="30"/>
      <c r="L147" s="291"/>
      <c r="M147" s="293" t="str">
        <f>M11</f>
        <v>Reference</v>
      </c>
      <c r="N147" s="293"/>
      <c r="O147" s="293"/>
      <c r="P147" s="293"/>
      <c r="Q147" s="293"/>
      <c r="R147" s="293"/>
      <c r="S147" s="293" t="str">
        <f>S11</f>
        <v>Scenario</v>
      </c>
      <c r="T147" s="293"/>
      <c r="U147" s="293"/>
      <c r="V147" s="293"/>
      <c r="W147" s="293"/>
      <c r="X147" s="293"/>
      <c r="Y147" s="293"/>
      <c r="Z147" s="293"/>
      <c r="AA147" s="293"/>
      <c r="AB147" s="293"/>
      <c r="AC147" s="293"/>
      <c r="AD147" s="293"/>
      <c r="AE147" s="293"/>
      <c r="AF147" s="293"/>
      <c r="AG147" s="293"/>
      <c r="AH147" s="293"/>
      <c r="AI147" s="293"/>
      <c r="AJ147" s="293"/>
      <c r="AK147" s="293"/>
      <c r="AL147" s="293"/>
      <c r="AM147" s="293"/>
      <c r="AN147" s="293"/>
      <c r="AO147" s="293"/>
      <c r="AP147" s="293"/>
    </row>
    <row r="148" spans="1:42" ht="15.75" thickBot="1">
      <c r="A148" s="225" t="s">
        <v>16</v>
      </c>
      <c r="C148" s="270" t="s">
        <v>142</v>
      </c>
      <c r="D148" s="270"/>
      <c r="E148" s="7">
        <v>2012</v>
      </c>
      <c r="F148" s="7">
        <f>F4</f>
        <v>2015</v>
      </c>
      <c r="G148" s="7">
        <f>G4</f>
        <v>2017</v>
      </c>
      <c r="H148" s="7">
        <v>2020</v>
      </c>
      <c r="I148" s="7">
        <v>2030</v>
      </c>
      <c r="J148" s="7">
        <v>2040</v>
      </c>
      <c r="K148" s="7">
        <v>2050</v>
      </c>
      <c r="L148" s="291"/>
      <c r="M148" s="293">
        <v>2015</v>
      </c>
      <c r="N148" s="293">
        <v>2020</v>
      </c>
      <c r="O148" s="293">
        <v>2030</v>
      </c>
      <c r="P148" s="293">
        <v>2040</v>
      </c>
      <c r="Q148" s="293">
        <v>2050</v>
      </c>
      <c r="R148" s="293"/>
      <c r="S148" s="293">
        <v>2015</v>
      </c>
      <c r="T148" s="293">
        <v>2020</v>
      </c>
      <c r="U148" s="293">
        <v>2030</v>
      </c>
      <c r="V148" s="293">
        <v>2040</v>
      </c>
      <c r="W148" s="293">
        <v>2050</v>
      </c>
      <c r="X148" s="293"/>
      <c r="Y148" s="293"/>
      <c r="Z148" s="293"/>
      <c r="AA148" s="293"/>
      <c r="AB148" s="293"/>
      <c r="AC148" s="293"/>
      <c r="AD148" s="293"/>
      <c r="AE148" s="293"/>
      <c r="AF148" s="293"/>
      <c r="AG148" s="293"/>
      <c r="AH148" s="293"/>
      <c r="AI148" s="293"/>
      <c r="AJ148" s="293"/>
      <c r="AK148" s="293"/>
      <c r="AL148" s="293"/>
      <c r="AM148" s="293"/>
      <c r="AN148" s="293"/>
      <c r="AO148" s="293"/>
      <c r="AP148" s="293"/>
    </row>
    <row r="149" spans="1:42">
      <c r="A149" s="225" t="s">
        <v>16</v>
      </c>
      <c r="B149" s="225" t="s">
        <v>128</v>
      </c>
      <c r="C149" s="225" t="s">
        <v>102</v>
      </c>
      <c r="D149" s="225" t="s">
        <v>86</v>
      </c>
      <c r="E149" s="52">
        <f t="shared" ref="E149:G149" si="87">E132*E$111</f>
        <v>83.445737773819317</v>
      </c>
      <c r="F149" s="52">
        <f t="shared" si="87"/>
        <v>89.733699794807748</v>
      </c>
      <c r="G149" s="52">
        <f t="shared" si="87"/>
        <v>92.953865761419351</v>
      </c>
      <c r="H149" s="52">
        <f t="shared" ref="H149:K151" si="88">H132*H$111</f>
        <v>93.071928339220463</v>
      </c>
      <c r="I149" s="52">
        <f t="shared" si="88"/>
        <v>119.09424745033492</v>
      </c>
      <c r="J149" s="52">
        <f t="shared" si="88"/>
        <v>159.09241047195033</v>
      </c>
      <c r="K149" s="52">
        <f t="shared" si="88"/>
        <v>207.94004526176084</v>
      </c>
      <c r="L149" s="294" t="str">
        <f>C149</f>
        <v>Car Priv.Veh. Vehicle km</v>
      </c>
      <c r="M149" s="276">
        <f t="shared" ref="M149:Q151" si="89">M132*M$111</f>
        <v>84.464428275999339</v>
      </c>
      <c r="N149" s="276">
        <f t="shared" si="89"/>
        <v>93.071928339220463</v>
      </c>
      <c r="O149" s="276">
        <f t="shared" si="89"/>
        <v>119.09424745033492</v>
      </c>
      <c r="P149" s="276">
        <f t="shared" si="89"/>
        <v>159.09241047195033</v>
      </c>
      <c r="Q149" s="276">
        <f t="shared" si="89"/>
        <v>207.94004526176084</v>
      </c>
      <c r="R149" s="276"/>
      <c r="S149" s="276">
        <f t="shared" ref="S149:W151" si="90">S132*S$111</f>
        <v>84.464428275999339</v>
      </c>
      <c r="T149" s="276">
        <f t="shared" si="90"/>
        <v>84.877226979510397</v>
      </c>
      <c r="U149" s="276">
        <f t="shared" si="90"/>
        <v>95.05234489325079</v>
      </c>
      <c r="V149" s="276">
        <f t="shared" si="90"/>
        <v>109.82427334876965</v>
      </c>
      <c r="W149" s="276">
        <f t="shared" si="90"/>
        <v>122.39797068168343</v>
      </c>
      <c r="X149" s="276"/>
      <c r="Y149" s="276"/>
      <c r="Z149" s="276"/>
      <c r="AA149" s="276"/>
      <c r="AB149" s="276"/>
      <c r="AC149" s="276"/>
      <c r="AD149" s="276"/>
      <c r="AE149" s="276"/>
      <c r="AF149" s="276"/>
      <c r="AG149" s="276"/>
      <c r="AH149" s="276"/>
      <c r="AI149" s="276"/>
      <c r="AJ149" s="276"/>
      <c r="AK149" s="276"/>
      <c r="AL149" s="276"/>
      <c r="AM149" s="276"/>
      <c r="AN149" s="276"/>
      <c r="AO149" s="276"/>
      <c r="AP149" s="276"/>
    </row>
    <row r="150" spans="1:42">
      <c r="A150" s="225" t="s">
        <v>16</v>
      </c>
      <c r="B150" s="225" t="s">
        <v>127</v>
      </c>
      <c r="C150" s="225" t="s">
        <v>101</v>
      </c>
      <c r="D150" s="225" t="s">
        <v>86</v>
      </c>
      <c r="E150" s="52">
        <f t="shared" ref="E150:G150" si="91">E133*E$111</f>
        <v>9.5813624270132962</v>
      </c>
      <c r="F150" s="52">
        <f t="shared" si="91"/>
        <v>10.303355480914815</v>
      </c>
      <c r="G150" s="52">
        <f t="shared" si="91"/>
        <v>10.673099676656344</v>
      </c>
      <c r="H150" s="52">
        <f>H133*H$111</f>
        <v>10.577791003763391</v>
      </c>
      <c r="I150" s="52">
        <f t="shared" si="88"/>
        <v>13.535274080587239</v>
      </c>
      <c r="J150" s="52">
        <f t="shared" si="88"/>
        <v>18.081136796948456</v>
      </c>
      <c r="K150" s="52">
        <f t="shared" si="88"/>
        <v>23.632757796478558</v>
      </c>
      <c r="L150" s="294" t="str">
        <f t="shared" ref="L150:L156" si="92">C150</f>
        <v>SUV Priv.Veh. Vehicle km</v>
      </c>
      <c r="M150" s="276">
        <f t="shared" si="89"/>
        <v>9.5995332373422624</v>
      </c>
      <c r="N150" s="276">
        <f t="shared" si="89"/>
        <v>10.577791003763391</v>
      </c>
      <c r="O150" s="276">
        <f t="shared" si="89"/>
        <v>13.535274080587239</v>
      </c>
      <c r="P150" s="276">
        <f t="shared" si="89"/>
        <v>18.081136796948456</v>
      </c>
      <c r="Q150" s="276">
        <f t="shared" si="89"/>
        <v>23.632757796478558</v>
      </c>
      <c r="R150" s="276"/>
      <c r="S150" s="276">
        <f t="shared" si="90"/>
        <v>9.5995332373422624</v>
      </c>
      <c r="T150" s="276">
        <f t="shared" si="90"/>
        <v>9.7002545119440455</v>
      </c>
      <c r="U150" s="276">
        <f t="shared" si="90"/>
        <v>9.6663401586356734</v>
      </c>
      <c r="V150" s="276">
        <f t="shared" si="90"/>
        <v>9.8166948244710301</v>
      </c>
      <c r="W150" s="276">
        <f t="shared" si="90"/>
        <v>10.940600731323659</v>
      </c>
      <c r="X150" s="285"/>
      <c r="Y150" s="276"/>
      <c r="Z150" s="276"/>
      <c r="AA150" s="276"/>
      <c r="AB150" s="276"/>
      <c r="AC150" s="276"/>
      <c r="AD150" s="276"/>
      <c r="AE150" s="276"/>
      <c r="AF150" s="276"/>
      <c r="AG150" s="276"/>
      <c r="AH150" s="276"/>
      <c r="AI150" s="276"/>
      <c r="AJ150" s="276"/>
      <c r="AK150" s="276"/>
      <c r="AL150" s="276"/>
      <c r="AM150" s="276"/>
      <c r="AN150" s="276"/>
      <c r="AO150" s="276"/>
      <c r="AP150" s="276"/>
    </row>
    <row r="151" spans="1:42">
      <c r="A151" s="225" t="s">
        <v>16</v>
      </c>
      <c r="B151" s="225" t="s">
        <v>183</v>
      </c>
      <c r="C151" s="225" t="s">
        <v>187</v>
      </c>
      <c r="D151" s="225" t="s">
        <v>86</v>
      </c>
      <c r="E151" s="52">
        <f t="shared" ref="E151:G151" si="93">E134*E$111</f>
        <v>3.2661400787071582</v>
      </c>
      <c r="F151" s="52">
        <f t="shared" si="93"/>
        <v>2.5887327939188354</v>
      </c>
      <c r="G151" s="52">
        <f t="shared" si="93"/>
        <v>2.6816315516730675</v>
      </c>
      <c r="H151" s="52">
        <f>H134*H$111</f>
        <v>2.6576851113585604</v>
      </c>
      <c r="I151" s="52">
        <f t="shared" si="88"/>
        <v>3.4007569623313376</v>
      </c>
      <c r="J151" s="52">
        <f t="shared" si="88"/>
        <v>4.5429114684333021</v>
      </c>
      <c r="K151" s="52">
        <f t="shared" si="88"/>
        <v>5.9377641809804977</v>
      </c>
      <c r="L151" s="294" t="str">
        <f t="shared" si="92"/>
        <v>Motorbikes Priv.Veh. Vehicle km</v>
      </c>
      <c r="M151" s="276">
        <f t="shared" si="89"/>
        <v>2.4118964490600412</v>
      </c>
      <c r="N151" s="276">
        <f t="shared" si="89"/>
        <v>2.6576851113585604</v>
      </c>
      <c r="O151" s="276">
        <f t="shared" si="89"/>
        <v>3.4007569623313376</v>
      </c>
      <c r="P151" s="276">
        <f t="shared" si="89"/>
        <v>4.5429114684333021</v>
      </c>
      <c r="Q151" s="276">
        <f t="shared" si="89"/>
        <v>5.9377641809804977</v>
      </c>
      <c r="R151" s="276"/>
      <c r="S151" s="276">
        <f t="shared" si="90"/>
        <v>2.4118964490600412</v>
      </c>
      <c r="T151" s="276">
        <f t="shared" si="90"/>
        <v>2.4250636279860114</v>
      </c>
      <c r="U151" s="276">
        <f t="shared" si="90"/>
        <v>2.6850944885099093</v>
      </c>
      <c r="V151" s="276">
        <f t="shared" si="90"/>
        <v>3.0677171326471968</v>
      </c>
      <c r="W151" s="276">
        <f t="shared" si="90"/>
        <v>3.4189377285386437</v>
      </c>
      <c r="X151" s="276"/>
      <c r="Y151" s="276"/>
      <c r="Z151" s="276"/>
      <c r="AA151" s="276"/>
      <c r="AB151" s="276"/>
      <c r="AC151" s="276"/>
      <c r="AD151" s="276"/>
      <c r="AE151" s="276"/>
      <c r="AF151" s="276"/>
      <c r="AG151" s="276"/>
      <c r="AH151" s="276"/>
      <c r="AI151" s="276"/>
      <c r="AJ151" s="276"/>
      <c r="AK151" s="276"/>
      <c r="AL151" s="276"/>
      <c r="AM151" s="276"/>
      <c r="AN151" s="276"/>
      <c r="AO151" s="276"/>
      <c r="AP151" s="276"/>
    </row>
    <row r="152" spans="1:42">
      <c r="A152" s="225" t="s">
        <v>16</v>
      </c>
      <c r="B152" s="225" t="s">
        <v>129</v>
      </c>
      <c r="C152" s="225" t="s">
        <v>87</v>
      </c>
      <c r="D152" s="225" t="s">
        <v>86</v>
      </c>
      <c r="E152" s="52">
        <v>0.61799148971758899</v>
      </c>
      <c r="F152" s="52">
        <v>0.65</v>
      </c>
      <c r="G152" s="52">
        <v>0.671544296289739</v>
      </c>
      <c r="H152" s="52">
        <f t="shared" ref="E152:K153" si="94">H137*H$129/H142</f>
        <v>0.69799217120588097</v>
      </c>
      <c r="I152" s="52">
        <f t="shared" si="94"/>
        <v>0.89263040828724971</v>
      </c>
      <c r="J152" s="52">
        <f t="shared" si="94"/>
        <v>0.73620068742957312</v>
      </c>
      <c r="K152" s="52">
        <f t="shared" si="94"/>
        <v>0.51179401830881177</v>
      </c>
      <c r="L152" s="294" t="str">
        <f t="shared" si="92"/>
        <v>Bus vehicle km</v>
      </c>
      <c r="M152" s="276">
        <f t="shared" ref="M152:Q153" si="95">M137*M$129/M142</f>
        <v>0.66850838359420706</v>
      </c>
      <c r="N152" s="276">
        <f t="shared" si="95"/>
        <v>0.69799217120588097</v>
      </c>
      <c r="O152" s="276">
        <f t="shared" si="95"/>
        <v>0.89263040828724971</v>
      </c>
      <c r="P152" s="276">
        <f t="shared" si="95"/>
        <v>0.73620068742957312</v>
      </c>
      <c r="Q152" s="276">
        <f t="shared" si="95"/>
        <v>0.51179401830881177</v>
      </c>
      <c r="R152" s="276"/>
      <c r="S152" s="276">
        <f t="shared" ref="S152:W153" si="96">S137*S$129/S142</f>
        <v>0.66850838359420706</v>
      </c>
      <c r="T152" s="276">
        <f t="shared" si="96"/>
        <v>0.67783773308455975</v>
      </c>
      <c r="U152" s="276">
        <f t="shared" si="96"/>
        <v>0.83847596768422883</v>
      </c>
      <c r="V152" s="276">
        <f t="shared" si="96"/>
        <v>0.63429566287487793</v>
      </c>
      <c r="W152" s="276">
        <f t="shared" si="96"/>
        <v>0.30877439193501199</v>
      </c>
      <c r="X152" s="276"/>
      <c r="Y152" s="276"/>
      <c r="Z152" s="276"/>
      <c r="AA152" s="276"/>
      <c r="AB152" s="276"/>
      <c r="AC152" s="276"/>
      <c r="AD152" s="276"/>
      <c r="AE152" s="276"/>
      <c r="AF152" s="276"/>
      <c r="AG152" s="276"/>
      <c r="AH152" s="276"/>
      <c r="AI152" s="276"/>
      <c r="AJ152" s="276"/>
      <c r="AK152" s="276"/>
      <c r="AL152" s="276"/>
      <c r="AM152" s="276"/>
      <c r="AN152" s="276"/>
      <c r="AO152" s="276"/>
      <c r="AP152" s="276"/>
    </row>
    <row r="153" spans="1:42">
      <c r="A153" s="225" t="s">
        <v>16</v>
      </c>
      <c r="B153" s="225" t="s">
        <v>130</v>
      </c>
      <c r="C153" s="225" t="s">
        <v>88</v>
      </c>
      <c r="D153" s="225" t="s">
        <v>86</v>
      </c>
      <c r="E153" s="52">
        <f t="shared" si="94"/>
        <v>7.0500705068475851</v>
      </c>
      <c r="F153" s="52">
        <v>6.9</v>
      </c>
      <c r="G153" s="52">
        <v>7.1425530000000004</v>
      </c>
      <c r="H153" s="52">
        <f t="shared" si="94"/>
        <v>7.339030036459377</v>
      </c>
      <c r="I153" s="52">
        <f t="shared" si="94"/>
        <v>7.3835491166137359</v>
      </c>
      <c r="J153" s="52">
        <f t="shared" si="94"/>
        <v>6.9553223326365616</v>
      </c>
      <c r="K153" s="52">
        <f t="shared" si="94"/>
        <v>6.4365139919491972</v>
      </c>
      <c r="L153" s="294" t="str">
        <f t="shared" si="92"/>
        <v>Minibus vehicle km</v>
      </c>
      <c r="M153" s="276">
        <f t="shared" si="95"/>
        <v>7.0290231169020529</v>
      </c>
      <c r="N153" s="276">
        <f t="shared" si="95"/>
        <v>7.339030036459377</v>
      </c>
      <c r="O153" s="276">
        <f t="shared" si="95"/>
        <v>7.3835491166137359</v>
      </c>
      <c r="P153" s="276">
        <f t="shared" si="95"/>
        <v>6.9553223326365616</v>
      </c>
      <c r="Q153" s="276">
        <f t="shared" si="95"/>
        <v>6.4365139919491972</v>
      </c>
      <c r="R153" s="276"/>
      <c r="S153" s="276">
        <f t="shared" si="96"/>
        <v>7.0290231169020529</v>
      </c>
      <c r="T153" s="276">
        <f t="shared" si="96"/>
        <v>7.1271164465335826</v>
      </c>
      <c r="U153" s="276">
        <f t="shared" si="96"/>
        <v>6.9356011547664922</v>
      </c>
      <c r="V153" s="276">
        <f t="shared" si="96"/>
        <v>5.9925654306186544</v>
      </c>
      <c r="W153" s="276">
        <f t="shared" si="96"/>
        <v>4.7896674624733802</v>
      </c>
      <c r="X153" s="276"/>
      <c r="Y153" s="276"/>
      <c r="Z153" s="276"/>
      <c r="AA153" s="276"/>
      <c r="AB153" s="276"/>
      <c r="AC153" s="276"/>
      <c r="AD153" s="276"/>
      <c r="AE153" s="276"/>
      <c r="AF153" s="276"/>
      <c r="AG153" s="276"/>
      <c r="AH153" s="276"/>
      <c r="AI153" s="276"/>
      <c r="AJ153" s="276"/>
      <c r="AK153" s="276"/>
      <c r="AL153" s="276"/>
      <c r="AM153" s="276"/>
      <c r="AN153" s="276"/>
      <c r="AO153" s="276"/>
      <c r="AP153" s="276"/>
    </row>
    <row r="154" spans="1:42">
      <c r="A154" s="225" t="s">
        <v>16</v>
      </c>
      <c r="B154" s="225" t="s">
        <v>131</v>
      </c>
      <c r="C154" s="225" t="s">
        <v>89</v>
      </c>
      <c r="D154" s="225" t="s">
        <v>86</v>
      </c>
      <c r="E154" s="52">
        <f t="shared" ref="E154:K154" si="97">E$127/E144</f>
        <v>2.1053938341249277E-2</v>
      </c>
      <c r="F154" s="52">
        <f t="shared" si="97"/>
        <v>2.2136272803750311E-2</v>
      </c>
      <c r="G154" s="52">
        <f t="shared" si="97"/>
        <v>2.2912654771952382E-2</v>
      </c>
      <c r="H154" s="52">
        <f t="shared" si="97"/>
        <v>0.21900860189999996</v>
      </c>
      <c r="I154" s="52">
        <f t="shared" si="97"/>
        <v>0.54066579377358781</v>
      </c>
      <c r="J154" s="52">
        <f t="shared" si="97"/>
        <v>1.0375902389599432</v>
      </c>
      <c r="K154" s="52">
        <f t="shared" si="97"/>
        <v>1.5488030931529777</v>
      </c>
      <c r="L154" s="294" t="str">
        <f t="shared" si="92"/>
        <v>BRT vehicle km</v>
      </c>
      <c r="M154" s="276">
        <f>M$127/M144</f>
        <v>2.1053938341249277E-2</v>
      </c>
      <c r="N154" s="276">
        <f>N$127/N144</f>
        <v>0.21900860189999996</v>
      </c>
      <c r="O154" s="276">
        <f>O$127/O144</f>
        <v>0.54066579377358781</v>
      </c>
      <c r="P154" s="276">
        <f>P$127/P144</f>
        <v>1.0375902389599432</v>
      </c>
      <c r="Q154" s="276">
        <f>Q$127/Q144</f>
        <v>1.5488030931529777</v>
      </c>
      <c r="R154" s="276"/>
      <c r="S154" s="276">
        <f>S$127/S144</f>
        <v>2.1053938341249277E-2</v>
      </c>
      <c r="T154" s="276">
        <f>T$127/T144</f>
        <v>0.20857962085714282</v>
      </c>
      <c r="U154" s="276">
        <f>U$127/U144</f>
        <v>0.68157850642163653</v>
      </c>
      <c r="V154" s="276">
        <f>V$127/V144</f>
        <v>1.7796209679096218</v>
      </c>
      <c r="W154" s="276">
        <f>W$127/W144</f>
        <v>3.6650648325093544</v>
      </c>
      <c r="X154" s="276"/>
      <c r="Y154" s="276"/>
      <c r="Z154" s="276"/>
      <c r="AA154" s="276"/>
      <c r="AB154" s="276"/>
      <c r="AC154" s="276"/>
      <c r="AD154" s="276"/>
      <c r="AE154" s="276"/>
      <c r="AF154" s="276"/>
      <c r="AG154" s="276"/>
      <c r="AH154" s="276"/>
      <c r="AI154" s="276"/>
      <c r="AJ154" s="276"/>
      <c r="AK154" s="276"/>
      <c r="AL154" s="276"/>
      <c r="AM154" s="276"/>
      <c r="AN154" s="276"/>
      <c r="AO154" s="276"/>
      <c r="AP154" s="276"/>
    </row>
    <row r="155" spans="1:42">
      <c r="A155" s="225" t="s">
        <v>16</v>
      </c>
      <c r="B155" s="225" t="s">
        <v>132</v>
      </c>
      <c r="C155" s="225" t="s">
        <v>90</v>
      </c>
      <c r="D155" s="225" t="str">
        <f>D154</f>
        <v>billion</v>
      </c>
      <c r="E155" s="52">
        <f t="shared" ref="E155:K155" si="98">E139*E$129</f>
        <v>17.142728190682369</v>
      </c>
      <c r="F155" s="52">
        <f t="shared" si="98"/>
        <v>17.318435960123196</v>
      </c>
      <c r="G155" s="52">
        <f t="shared" si="98"/>
        <v>17.555202279129503</v>
      </c>
      <c r="H155" s="52">
        <f t="shared" si="98"/>
        <v>17.845353032438364</v>
      </c>
      <c r="I155" s="52">
        <f t="shared" si="98"/>
        <v>13.193500049478992</v>
      </c>
      <c r="J155" s="52">
        <f t="shared" si="98"/>
        <v>15.044797663169364</v>
      </c>
      <c r="K155" s="52">
        <f t="shared" si="98"/>
        <v>18.159890531472183</v>
      </c>
      <c r="L155" s="294" t="str">
        <f t="shared" si="92"/>
        <v>Metro Rail pkm</v>
      </c>
      <c r="M155" s="276">
        <f>M139*M$129</f>
        <v>17.091550023796078</v>
      </c>
      <c r="N155" s="276">
        <f>N139*N$129</f>
        <v>17.845353032438364</v>
      </c>
      <c r="O155" s="276">
        <f>O139*O$129</f>
        <v>13.193500049478992</v>
      </c>
      <c r="P155" s="276">
        <f>P139*P$129</f>
        <v>15.044797663169364</v>
      </c>
      <c r="Q155" s="276">
        <f>Q139*Q$129</f>
        <v>18.159890531472183</v>
      </c>
      <c r="R155" s="276"/>
      <c r="S155" s="276">
        <f>S139*S$129</f>
        <v>17.091550023796078</v>
      </c>
      <c r="T155" s="276">
        <f>T139*T$129</f>
        <v>18.196574190708869</v>
      </c>
      <c r="U155" s="276">
        <f>U139*U$129</f>
        <v>13.663361635244366</v>
      </c>
      <c r="V155" s="276">
        <f>V139*V$129</f>
        <v>15.005475832511552</v>
      </c>
      <c r="W155" s="276">
        <f>W139*W$129</f>
        <v>17.729375175645657</v>
      </c>
      <c r="X155" s="276"/>
      <c r="Y155" s="276"/>
      <c r="Z155" s="276"/>
      <c r="AA155" s="276"/>
      <c r="AB155" s="276"/>
      <c r="AC155" s="276"/>
      <c r="AD155" s="276"/>
      <c r="AE155" s="276"/>
      <c r="AF155" s="276"/>
      <c r="AG155" s="276"/>
      <c r="AH155" s="276"/>
      <c r="AI155" s="276"/>
      <c r="AJ155" s="276"/>
      <c r="AK155" s="276"/>
      <c r="AL155" s="276"/>
      <c r="AM155" s="276"/>
      <c r="AN155" s="276"/>
      <c r="AO155" s="276"/>
      <c r="AP155" s="276"/>
    </row>
    <row r="156" spans="1:42">
      <c r="A156" s="225" t="s">
        <v>16</v>
      </c>
      <c r="B156" s="225" t="s">
        <v>133</v>
      </c>
      <c r="C156" s="225" t="s">
        <v>91</v>
      </c>
      <c r="D156" s="225" t="s">
        <v>86</v>
      </c>
      <c r="E156" s="52">
        <f t="shared" ref="E156:K156" si="99">E128</f>
        <v>0.54174365358593757</v>
      </c>
      <c r="F156" s="52">
        <f t="shared" si="99"/>
        <v>0.58560585461802261</v>
      </c>
      <c r="G156" s="52">
        <f t="shared" si="99"/>
        <v>0.6139846646673921</v>
      </c>
      <c r="H156" s="52">
        <f t="shared" si="99"/>
        <v>0.60548819537425813</v>
      </c>
      <c r="I156" s="52">
        <f t="shared" si="99"/>
        <v>0.76800493917638013</v>
      </c>
      <c r="J156" s="52">
        <f t="shared" si="99"/>
        <v>0.99971875169637903</v>
      </c>
      <c r="K156" s="52">
        <f t="shared" si="99"/>
        <v>1.2567492640737796</v>
      </c>
      <c r="L156" s="294" t="str">
        <f t="shared" si="92"/>
        <v>Gautrain pkm</v>
      </c>
      <c r="M156" s="276">
        <f>M128</f>
        <v>0.54174365358593757</v>
      </c>
      <c r="N156" s="276">
        <f>N128</f>
        <v>0.60548819537425813</v>
      </c>
      <c r="O156" s="276">
        <f>O128</f>
        <v>0.76800493917638013</v>
      </c>
      <c r="P156" s="276">
        <f>P128</f>
        <v>0.99971875169637903</v>
      </c>
      <c r="Q156" s="276">
        <f>Q128</f>
        <v>1.2567492640737796</v>
      </c>
      <c r="R156" s="276"/>
      <c r="S156" s="276">
        <f>S128</f>
        <v>0.54174365358593757</v>
      </c>
      <c r="T156" s="276">
        <f>T128</f>
        <v>0.60548819537425813</v>
      </c>
      <c r="U156" s="276">
        <f>U128</f>
        <v>2.3173803027215989</v>
      </c>
      <c r="V156" s="276">
        <f>V128</f>
        <v>7.2095436253531329</v>
      </c>
      <c r="W156" s="276">
        <f>W128</f>
        <v>14.304732693970184</v>
      </c>
      <c r="X156" s="276"/>
      <c r="Y156" s="276"/>
      <c r="Z156" s="276"/>
      <c r="AA156" s="276"/>
      <c r="AB156" s="276"/>
      <c r="AC156" s="276"/>
      <c r="AD156" s="276"/>
      <c r="AE156" s="276"/>
      <c r="AF156" s="276"/>
      <c r="AG156" s="276"/>
      <c r="AH156" s="276"/>
      <c r="AI156" s="276"/>
      <c r="AJ156" s="276"/>
      <c r="AK156" s="276"/>
      <c r="AL156" s="276"/>
      <c r="AM156" s="276"/>
      <c r="AN156" s="276"/>
      <c r="AO156" s="276"/>
      <c r="AP156" s="276"/>
    </row>
    <row r="157" spans="1:42">
      <c r="A157" s="225" t="s">
        <v>16</v>
      </c>
    </row>
    <row r="158" spans="1:42">
      <c r="A158" s="225" t="s">
        <v>16</v>
      </c>
    </row>
    <row r="159" spans="1:42">
      <c r="A159" s="225" t="s">
        <v>16</v>
      </c>
      <c r="E159" s="293"/>
      <c r="M159" s="225" t="s">
        <v>41</v>
      </c>
      <c r="S159" s="225" t="s">
        <v>197</v>
      </c>
    </row>
    <row r="160" spans="1:42" ht="15.75" thickBot="1">
      <c r="A160" s="225" t="s">
        <v>16</v>
      </c>
      <c r="C160" s="270" t="s">
        <v>141</v>
      </c>
      <c r="D160" s="270"/>
      <c r="E160" s="7">
        <v>2012</v>
      </c>
      <c r="F160" s="7">
        <f>F4</f>
        <v>2015</v>
      </c>
      <c r="G160" s="7">
        <f>G4</f>
        <v>2017</v>
      </c>
      <c r="H160" s="7">
        <v>2020</v>
      </c>
      <c r="I160" s="7">
        <v>2030</v>
      </c>
      <c r="J160" s="7">
        <v>2040</v>
      </c>
      <c r="K160" s="7">
        <v>2050</v>
      </c>
      <c r="L160" s="225"/>
      <c r="M160" s="225">
        <f>F160</f>
        <v>2015</v>
      </c>
      <c r="N160" s="225">
        <f>H160</f>
        <v>2020</v>
      </c>
      <c r="O160" s="225">
        <f>I160</f>
        <v>2030</v>
      </c>
      <c r="P160" s="225">
        <v>2040</v>
      </c>
      <c r="Q160" s="225">
        <f>K160</f>
        <v>2050</v>
      </c>
      <c r="S160" s="225">
        <f>M160</f>
        <v>2015</v>
      </c>
      <c r="T160" s="225">
        <f>N160</f>
        <v>2020</v>
      </c>
      <c r="U160" s="225">
        <f>O160</f>
        <v>2030</v>
      </c>
      <c r="V160" s="225">
        <v>2040</v>
      </c>
      <c r="W160" s="225">
        <f>Q160</f>
        <v>2050</v>
      </c>
    </row>
    <row r="161" spans="1:25">
      <c r="A161" s="225" t="s">
        <v>16</v>
      </c>
      <c r="B161" s="225" t="s">
        <v>128</v>
      </c>
      <c r="C161" s="225" t="s">
        <v>100</v>
      </c>
      <c r="D161" s="225" t="s">
        <v>86</v>
      </c>
      <c r="E161" s="52">
        <f t="shared" ref="E161:Q163" si="100">SUMPRODUCT(E$35:E$38,E$41:E$44,E$54:E$57)*E132</f>
        <v>116.82403288334702</v>
      </c>
      <c r="F161" s="52">
        <f>SUMPRODUCT(F$35:F$38,F$41:F$44,F$54:F$57)*F132</f>
        <v>117.04558669258432</v>
      </c>
      <c r="G161" s="52">
        <f>SUMPRODUCT(G$35:G$38,G$41:G$44,G$54:G$57)*G132</f>
        <v>128.97332852923213</v>
      </c>
      <c r="H161" s="52">
        <f t="shared" si="100"/>
        <v>130.30069967490863</v>
      </c>
      <c r="I161" s="52">
        <f t="shared" si="100"/>
        <v>166.73194643046889</v>
      </c>
      <c r="J161" s="52">
        <f t="shared" si="100"/>
        <v>222.72937466073043</v>
      </c>
      <c r="K161" s="52">
        <f t="shared" si="100"/>
        <v>291.11606336646514</v>
      </c>
      <c r="L161" s="225" t="str">
        <f t="shared" ref="L161:L168" si="101">C161</f>
        <v>Car</v>
      </c>
      <c r="M161" s="10">
        <f t="shared" si="100"/>
        <v>118.25019958639903</v>
      </c>
      <c r="N161" s="10">
        <f t="shared" si="100"/>
        <v>130.30069967490863</v>
      </c>
      <c r="O161" s="10">
        <f t="shared" si="100"/>
        <v>166.73194643046889</v>
      </c>
      <c r="P161" s="10">
        <f t="shared" si="100"/>
        <v>222.72937466073043</v>
      </c>
      <c r="Q161" s="10">
        <f t="shared" si="100"/>
        <v>291.11606336646514</v>
      </c>
      <c r="S161" s="10">
        <f t="shared" ref="S161:W163" si="102">SUMPRODUCT(S$35:S$38,S$41:S$44,S$54:S$57)*S132</f>
        <v>118.25019958639903</v>
      </c>
      <c r="T161" s="10">
        <f t="shared" si="102"/>
        <v>121.79882071559742</v>
      </c>
      <c r="U161" s="10">
        <f t="shared" si="102"/>
        <v>139.81011779486025</v>
      </c>
      <c r="V161" s="10">
        <f t="shared" si="102"/>
        <v>165.57622251341832</v>
      </c>
      <c r="W161" s="10">
        <f t="shared" si="102"/>
        <v>189.14624095469617</v>
      </c>
    </row>
    <row r="162" spans="1:25">
      <c r="A162" s="225" t="s">
        <v>16</v>
      </c>
      <c r="B162" s="225" t="s">
        <v>127</v>
      </c>
      <c r="C162" s="225" t="s">
        <v>99</v>
      </c>
      <c r="D162" s="225" t="s">
        <v>86</v>
      </c>
      <c r="E162" s="52">
        <f t="shared" si="100"/>
        <v>13.41390739781861</v>
      </c>
      <c r="F162" s="52">
        <f t="shared" si="100"/>
        <v>13.43934653227916</v>
      </c>
      <c r="G162" s="52">
        <f t="shared" si="100"/>
        <v>14.808907405268744</v>
      </c>
      <c r="H162" s="52">
        <f t="shared" si="100"/>
        <v>14.808907405268744</v>
      </c>
      <c r="I162" s="52">
        <f t="shared" si="100"/>
        <v>18.949383712822137</v>
      </c>
      <c r="J162" s="52">
        <f t="shared" si="100"/>
        <v>25.313591515727833</v>
      </c>
      <c r="K162" s="52">
        <f t="shared" si="100"/>
        <v>33.085860915069972</v>
      </c>
      <c r="L162" s="225" t="str">
        <f t="shared" si="101"/>
        <v>SUV</v>
      </c>
      <c r="M162" s="10">
        <f t="shared" si="100"/>
        <v>13.43934653227916</v>
      </c>
      <c r="N162" s="10">
        <f t="shared" si="100"/>
        <v>14.808907405268744</v>
      </c>
      <c r="O162" s="10">
        <f t="shared" si="100"/>
        <v>18.949383712822137</v>
      </c>
      <c r="P162" s="10">
        <f t="shared" si="100"/>
        <v>25.313591515727833</v>
      </c>
      <c r="Q162" s="10">
        <f t="shared" si="100"/>
        <v>33.085860915069972</v>
      </c>
      <c r="S162" s="10">
        <f t="shared" si="102"/>
        <v>13.43934653227916</v>
      </c>
      <c r="T162" s="10">
        <f t="shared" si="102"/>
        <v>13.919865224639706</v>
      </c>
      <c r="U162" s="10">
        <f t="shared" si="102"/>
        <v>14.217978080833243</v>
      </c>
      <c r="V162" s="10">
        <f t="shared" si="102"/>
        <v>14.80010927494242</v>
      </c>
      <c r="W162" s="10">
        <f t="shared" si="102"/>
        <v>16.906926565782896</v>
      </c>
      <c r="X162" s="285">
        <f>O162/O169</f>
        <v>5.5148584130333106E-2</v>
      </c>
      <c r="Y162" s="285">
        <f>U162/U169</f>
        <v>4.4031351862492456E-2</v>
      </c>
    </row>
    <row r="163" spans="1:25">
      <c r="A163" s="225" t="s">
        <v>16</v>
      </c>
      <c r="B163" s="225" t="s">
        <v>183</v>
      </c>
      <c r="C163" s="225" t="s">
        <v>212</v>
      </c>
      <c r="D163" s="225" t="s">
        <v>86</v>
      </c>
      <c r="E163" s="52">
        <f t="shared" si="100"/>
        <v>4.5725961101900205</v>
      </c>
      <c r="F163" s="52">
        <f t="shared" si="100"/>
        <v>3.3766550286840564</v>
      </c>
      <c r="G163" s="52">
        <f t="shared" si="100"/>
        <v>3.7207591559019839</v>
      </c>
      <c r="H163" s="52">
        <f t="shared" si="100"/>
        <v>3.7207591559019839</v>
      </c>
      <c r="I163" s="52">
        <f t="shared" si="100"/>
        <v>4.7610597472638725</v>
      </c>
      <c r="J163" s="52">
        <f t="shared" si="100"/>
        <v>6.3600760558066227</v>
      </c>
      <c r="K163" s="52">
        <f t="shared" si="100"/>
        <v>8.3128698533726944</v>
      </c>
      <c r="L163" s="225" t="str">
        <f t="shared" si="101"/>
        <v>Motorbike</v>
      </c>
      <c r="M163" s="10">
        <f t="shared" si="100"/>
        <v>3.3766550286840564</v>
      </c>
      <c r="N163" s="10">
        <f t="shared" si="100"/>
        <v>3.7207591559019839</v>
      </c>
      <c r="O163" s="10">
        <f t="shared" si="100"/>
        <v>4.7610597472638725</v>
      </c>
      <c r="P163" s="10">
        <f t="shared" si="100"/>
        <v>6.3600760558066227</v>
      </c>
      <c r="Q163" s="10">
        <f t="shared" si="100"/>
        <v>8.3128698533726944</v>
      </c>
      <c r="S163" s="10">
        <f t="shared" si="102"/>
        <v>3.3766550286840564</v>
      </c>
      <c r="T163" s="10">
        <f t="shared" si="102"/>
        <v>3.4799663061599264</v>
      </c>
      <c r="U163" s="10">
        <f t="shared" si="102"/>
        <v>3.9494383557870125</v>
      </c>
      <c r="V163" s="10">
        <f t="shared" si="102"/>
        <v>4.6250341484195063</v>
      </c>
      <c r="W163" s="10">
        <f t="shared" si="102"/>
        <v>5.2834145518071551</v>
      </c>
    </row>
    <row r="164" spans="1:25">
      <c r="A164" s="225" t="s">
        <v>16</v>
      </c>
      <c r="B164" s="225" t="s">
        <v>129</v>
      </c>
      <c r="C164" s="225" t="s">
        <v>62</v>
      </c>
      <c r="D164" s="225" t="s">
        <v>86</v>
      </c>
      <c r="E164" s="53">
        <f t="shared" ref="E164:W166" si="103">E152*E142</f>
        <v>15.449787242939724</v>
      </c>
      <c r="F164" s="53">
        <f t="shared" si="103"/>
        <v>16.25</v>
      </c>
      <c r="G164" s="53">
        <f t="shared" si="103"/>
        <v>16.788607407243475</v>
      </c>
      <c r="H164" s="53">
        <f t="shared" si="103"/>
        <v>17.449804280147024</v>
      </c>
      <c r="I164" s="53">
        <f t="shared" si="103"/>
        <v>22.315760207181242</v>
      </c>
      <c r="J164" s="53">
        <f t="shared" si="103"/>
        <v>18.405017185739329</v>
      </c>
      <c r="K164" s="53">
        <f t="shared" si="103"/>
        <v>12.794850457720294</v>
      </c>
      <c r="L164" s="225" t="str">
        <f t="shared" si="101"/>
        <v>Bus</v>
      </c>
      <c r="M164" s="10">
        <f t="shared" si="103"/>
        <v>16.712709589855177</v>
      </c>
      <c r="N164" s="10">
        <f t="shared" si="103"/>
        <v>17.449804280147024</v>
      </c>
      <c r="O164" s="10">
        <f t="shared" si="103"/>
        <v>22.315760207181242</v>
      </c>
      <c r="P164" s="10">
        <f t="shared" si="103"/>
        <v>18.405017185739329</v>
      </c>
      <c r="Q164" s="10">
        <f t="shared" si="103"/>
        <v>12.794850457720294</v>
      </c>
      <c r="S164" s="10">
        <f t="shared" si="103"/>
        <v>16.712709589855177</v>
      </c>
      <c r="T164" s="10">
        <f t="shared" si="103"/>
        <v>17.793240493469693</v>
      </c>
      <c r="U164" s="10">
        <f t="shared" si="103"/>
        <v>23.110493859296557</v>
      </c>
      <c r="V164" s="10">
        <f t="shared" si="103"/>
        <v>18.356912918388264</v>
      </c>
      <c r="W164" s="10">
        <f t="shared" si="103"/>
        <v>8.9361238865942063</v>
      </c>
    </row>
    <row r="165" spans="1:25">
      <c r="A165" s="225" t="s">
        <v>16</v>
      </c>
      <c r="B165" s="225" t="s">
        <v>130</v>
      </c>
      <c r="C165" s="225" t="s">
        <v>61</v>
      </c>
      <c r="D165" s="225" t="s">
        <v>86</v>
      </c>
      <c r="E165" s="53">
        <f t="shared" si="103"/>
        <v>98.700987095866196</v>
      </c>
      <c r="F165" s="53">
        <f t="shared" si="103"/>
        <v>96.600000000000009</v>
      </c>
      <c r="G165" s="53">
        <f t="shared" si="103"/>
        <v>99.995742000000007</v>
      </c>
      <c r="H165" s="53">
        <f t="shared" si="103"/>
        <v>102.74642051043128</v>
      </c>
      <c r="I165" s="53">
        <f t="shared" si="103"/>
        <v>103.3696876325923</v>
      </c>
      <c r="J165" s="52">
        <f t="shared" si="103"/>
        <v>97.374512656911861</v>
      </c>
      <c r="K165" s="53">
        <f t="shared" si="103"/>
        <v>90.111195887288758</v>
      </c>
      <c r="L165" s="225" t="str">
        <f t="shared" si="101"/>
        <v>Minibus</v>
      </c>
      <c r="M165" s="10">
        <f t="shared" si="103"/>
        <v>98.406323636628741</v>
      </c>
      <c r="N165" s="10">
        <f t="shared" si="103"/>
        <v>102.74642051043128</v>
      </c>
      <c r="O165" s="10">
        <f t="shared" si="103"/>
        <v>103.3696876325923</v>
      </c>
      <c r="P165" s="10">
        <f t="shared" si="103"/>
        <v>97.374512656911861</v>
      </c>
      <c r="Q165" s="10">
        <f t="shared" si="103"/>
        <v>90.111195887288758</v>
      </c>
      <c r="S165" s="10">
        <f t="shared" si="103"/>
        <v>98.406323636628741</v>
      </c>
      <c r="T165" s="10">
        <f t="shared" si="103"/>
        <v>104.76861176404367</v>
      </c>
      <c r="U165" s="10">
        <f t="shared" si="103"/>
        <v>107.05100382382082</v>
      </c>
      <c r="V165" s="10">
        <f t="shared" si="103"/>
        <v>97.1200097926789</v>
      </c>
      <c r="W165" s="10">
        <f t="shared" si="103"/>
        <v>77.624943147440462</v>
      </c>
    </row>
    <row r="166" spans="1:25">
      <c r="A166" s="225" t="s">
        <v>16</v>
      </c>
      <c r="B166" s="225" t="s">
        <v>131</v>
      </c>
      <c r="C166" s="225" t="s">
        <v>63</v>
      </c>
      <c r="D166" s="225" t="s">
        <v>86</v>
      </c>
      <c r="E166" s="53">
        <f t="shared" si="103"/>
        <v>0.52634845853123191</v>
      </c>
      <c r="F166" s="53">
        <f t="shared" si="103"/>
        <v>0.55340682009375775</v>
      </c>
      <c r="G166" s="53">
        <f t="shared" si="103"/>
        <v>0.57281636929880952</v>
      </c>
      <c r="H166" s="53">
        <f t="shared" si="103"/>
        <v>5.475215047499999</v>
      </c>
      <c r="I166" s="53">
        <f t="shared" si="103"/>
        <v>13.516644844339694</v>
      </c>
      <c r="J166" s="53">
        <f t="shared" si="103"/>
        <v>25.939755973998579</v>
      </c>
      <c r="K166" s="53">
        <f t="shared" si="103"/>
        <v>38.720077328824445</v>
      </c>
      <c r="L166" s="225" t="str">
        <f t="shared" si="101"/>
        <v>BRT</v>
      </c>
      <c r="M166" s="10">
        <f t="shared" si="103"/>
        <v>0.52634845853123191</v>
      </c>
      <c r="N166" s="10">
        <f t="shared" si="103"/>
        <v>5.475215047499999</v>
      </c>
      <c r="O166" s="10">
        <f t="shared" si="103"/>
        <v>13.516644844339694</v>
      </c>
      <c r="P166" s="10">
        <f t="shared" si="103"/>
        <v>25.939755973998579</v>
      </c>
      <c r="Q166" s="10">
        <f t="shared" si="103"/>
        <v>38.720077328824445</v>
      </c>
      <c r="S166" s="10">
        <f t="shared" si="103"/>
        <v>0.52634845853123191</v>
      </c>
      <c r="T166" s="10">
        <f t="shared" si="103"/>
        <v>5.475215047499999</v>
      </c>
      <c r="U166" s="10">
        <f t="shared" si="103"/>
        <v>18.786007583246356</v>
      </c>
      <c r="V166" s="10">
        <f t="shared" si="103"/>
        <v>51.503343074409401</v>
      </c>
      <c r="W166" s="10">
        <f t="shared" si="103"/>
        <v>106.06926691834104</v>
      </c>
    </row>
    <row r="167" spans="1:25">
      <c r="A167" s="225" t="s">
        <v>16</v>
      </c>
      <c r="B167" s="225" t="s">
        <v>132</v>
      </c>
      <c r="C167" s="225" t="s">
        <v>85</v>
      </c>
      <c r="D167" s="225" t="str">
        <f>D166</f>
        <v>billion</v>
      </c>
      <c r="E167" s="52">
        <f t="shared" ref="E167:U168" si="104">E155</f>
        <v>17.142728190682369</v>
      </c>
      <c r="F167" s="52">
        <f t="shared" si="104"/>
        <v>17.318435960123196</v>
      </c>
      <c r="G167" s="52">
        <f t="shared" si="104"/>
        <v>17.555202279129503</v>
      </c>
      <c r="H167" s="52">
        <f t="shared" si="104"/>
        <v>17.845353032438364</v>
      </c>
      <c r="I167" s="52">
        <f t="shared" si="104"/>
        <v>13.193500049478992</v>
      </c>
      <c r="J167" s="52">
        <f t="shared" si="104"/>
        <v>15.044797663169364</v>
      </c>
      <c r="K167" s="52">
        <f t="shared" si="104"/>
        <v>18.159890531472183</v>
      </c>
      <c r="L167" s="225" t="str">
        <f t="shared" si="101"/>
        <v>Metro Rail</v>
      </c>
      <c r="M167" s="10">
        <f t="shared" si="104"/>
        <v>17.091550023796078</v>
      </c>
      <c r="N167" s="10">
        <f t="shared" si="104"/>
        <v>17.845353032438364</v>
      </c>
      <c r="O167" s="10">
        <f t="shared" si="104"/>
        <v>13.193500049478992</v>
      </c>
      <c r="P167" s="10">
        <f t="shared" si="104"/>
        <v>15.044797663169364</v>
      </c>
      <c r="Q167" s="10">
        <f t="shared" si="104"/>
        <v>18.159890531472183</v>
      </c>
      <c r="S167" s="10">
        <f t="shared" si="104"/>
        <v>17.091550023796078</v>
      </c>
      <c r="T167" s="10">
        <f t="shared" si="104"/>
        <v>18.196574190708869</v>
      </c>
      <c r="U167" s="10">
        <f t="shared" si="104"/>
        <v>13.663361635244366</v>
      </c>
      <c r="V167" s="10">
        <f>V155</f>
        <v>15.005475832511552</v>
      </c>
      <c r="W167" s="10">
        <f>W155</f>
        <v>17.729375175645657</v>
      </c>
    </row>
    <row r="168" spans="1:25">
      <c r="A168" s="225" t="s">
        <v>16</v>
      </c>
      <c r="B168" s="225" t="s">
        <v>133</v>
      </c>
      <c r="C168" s="225" t="s">
        <v>82</v>
      </c>
      <c r="D168" s="225" t="s">
        <v>86</v>
      </c>
      <c r="E168" s="52">
        <f t="shared" si="104"/>
        <v>0.54174365358593757</v>
      </c>
      <c r="F168" s="52">
        <f t="shared" si="104"/>
        <v>0.58560585461802261</v>
      </c>
      <c r="G168" s="52">
        <f t="shared" si="104"/>
        <v>0.6139846646673921</v>
      </c>
      <c r="H168" s="52">
        <f t="shared" si="104"/>
        <v>0.60548819537425813</v>
      </c>
      <c r="I168" s="52">
        <f t="shared" si="104"/>
        <v>0.76800493917638013</v>
      </c>
      <c r="J168" s="52">
        <f t="shared" si="104"/>
        <v>0.99971875169637903</v>
      </c>
      <c r="K168" s="52">
        <f t="shared" si="104"/>
        <v>1.2567492640737796</v>
      </c>
      <c r="L168" s="225" t="str">
        <f t="shared" si="101"/>
        <v>Gautrain</v>
      </c>
      <c r="M168" s="10">
        <f t="shared" si="104"/>
        <v>0.54174365358593757</v>
      </c>
      <c r="N168" s="10">
        <f t="shared" si="104"/>
        <v>0.60548819537425813</v>
      </c>
      <c r="O168" s="10">
        <f t="shared" si="104"/>
        <v>0.76800493917638013</v>
      </c>
      <c r="P168" s="10">
        <f t="shared" si="104"/>
        <v>0.99971875169637903</v>
      </c>
      <c r="Q168" s="10">
        <f t="shared" si="104"/>
        <v>1.2567492640737796</v>
      </c>
      <c r="S168" s="10">
        <f t="shared" si="104"/>
        <v>0.54174365358593757</v>
      </c>
      <c r="T168" s="10">
        <f t="shared" si="104"/>
        <v>0.60548819537425813</v>
      </c>
      <c r="U168" s="10">
        <f t="shared" si="104"/>
        <v>2.3173803027215989</v>
      </c>
      <c r="V168" s="10">
        <f>V156</f>
        <v>7.2095436253531329</v>
      </c>
      <c r="W168" s="10">
        <f>W156</f>
        <v>14.304732693970184</v>
      </c>
    </row>
    <row r="169" spans="1:25">
      <c r="A169" s="225" t="s">
        <v>16</v>
      </c>
      <c r="C169" s="5" t="s">
        <v>5</v>
      </c>
      <c r="E169" s="10">
        <f t="shared" ref="E169:W169" si="105">SUM(E161:E168)</f>
        <v>267.17213103296109</v>
      </c>
      <c r="F169" s="10">
        <f t="shared" si="105"/>
        <v>265.16903688838255</v>
      </c>
      <c r="G169" s="10">
        <f t="shared" si="105"/>
        <v>283.02934781074208</v>
      </c>
      <c r="H169" s="10">
        <f t="shared" si="105"/>
        <v>292.95264730197033</v>
      </c>
      <c r="I169" s="10">
        <f t="shared" si="105"/>
        <v>343.60598756332348</v>
      </c>
      <c r="J169" s="10">
        <f t="shared" si="105"/>
        <v>412.16684446378042</v>
      </c>
      <c r="K169" s="10">
        <f t="shared" si="105"/>
        <v>493.55755760428735</v>
      </c>
      <c r="L169" s="40"/>
      <c r="M169" s="10">
        <f t="shared" si="105"/>
        <v>268.34487650975939</v>
      </c>
      <c r="N169" s="10">
        <f t="shared" si="105"/>
        <v>292.95264730197033</v>
      </c>
      <c r="O169" s="10">
        <f t="shared" si="105"/>
        <v>343.60598756332348</v>
      </c>
      <c r="P169" s="10">
        <f t="shared" si="105"/>
        <v>412.16684446378042</v>
      </c>
      <c r="Q169" s="10">
        <f t="shared" si="105"/>
        <v>493.55755760428735</v>
      </c>
      <c r="S169" s="10">
        <f t="shared" si="105"/>
        <v>268.34487650975939</v>
      </c>
      <c r="T169" s="10">
        <f t="shared" si="105"/>
        <v>286.03778193749355</v>
      </c>
      <c r="U169" s="10">
        <f t="shared" si="105"/>
        <v>322.90578143581018</v>
      </c>
      <c r="V169" s="10">
        <f t="shared" si="105"/>
        <v>374.19665118012148</v>
      </c>
      <c r="W169" s="10">
        <f t="shared" si="105"/>
        <v>436.00102389427775</v>
      </c>
    </row>
    <row r="170" spans="1:25">
      <c r="A170" s="225" t="s">
        <v>16</v>
      </c>
    </row>
    <row r="171" spans="1:25" ht="15.75" thickBot="1">
      <c r="A171" s="225" t="s">
        <v>16</v>
      </c>
      <c r="C171" s="270" t="s">
        <v>143</v>
      </c>
      <c r="D171" s="270"/>
      <c r="E171" s="7">
        <v>2012</v>
      </c>
      <c r="F171" s="7">
        <f>F4</f>
        <v>2015</v>
      </c>
      <c r="G171" s="7">
        <f>G4</f>
        <v>2017</v>
      </c>
      <c r="H171" s="7">
        <v>2020</v>
      </c>
      <c r="I171" s="7">
        <v>2030</v>
      </c>
      <c r="J171" s="7">
        <v>2040</v>
      </c>
      <c r="K171" s="7">
        <v>2050</v>
      </c>
      <c r="M171" s="225">
        <f>F171</f>
        <v>2015</v>
      </c>
      <c r="N171" s="225">
        <f>H171</f>
        <v>2020</v>
      </c>
      <c r="O171" s="225">
        <f>I171</f>
        <v>2030</v>
      </c>
      <c r="P171" s="225">
        <v>2040</v>
      </c>
      <c r="Q171" s="225">
        <f>K171</f>
        <v>2050</v>
      </c>
      <c r="S171" s="225">
        <f>M171</f>
        <v>2015</v>
      </c>
      <c r="T171" s="225">
        <f>N171</f>
        <v>2020</v>
      </c>
      <c r="U171" s="225">
        <f>O171</f>
        <v>2030</v>
      </c>
      <c r="V171" s="225">
        <v>2040</v>
      </c>
      <c r="W171" s="225">
        <f>Q171</f>
        <v>2050</v>
      </c>
    </row>
    <row r="172" spans="1:25">
      <c r="A172" s="225" t="s">
        <v>16</v>
      </c>
      <c r="B172" s="225" t="str">
        <f t="shared" ref="B172:C179" si="106">B161</f>
        <v>TPPRCAR</v>
      </c>
      <c r="C172" s="225" t="str">
        <f t="shared" si="106"/>
        <v>Car</v>
      </c>
      <c r="E172" s="285">
        <f t="shared" ref="E172:K179" si="107">E161/E$169</f>
        <v>0.43726129829362481</v>
      </c>
      <c r="F172" s="285">
        <f t="shared" si="107"/>
        <v>0.44139990123300954</v>
      </c>
      <c r="G172" s="285">
        <f t="shared" si="107"/>
        <v>0.45568888713079631</v>
      </c>
      <c r="H172" s="285">
        <f t="shared" si="107"/>
        <v>0.44478416861888609</v>
      </c>
      <c r="I172" s="285">
        <f t="shared" si="107"/>
        <v>0.48524167932242945</v>
      </c>
      <c r="J172" s="285">
        <f t="shared" si="107"/>
        <v>0.5403864421712431</v>
      </c>
      <c r="K172" s="285">
        <f t="shared" si="107"/>
        <v>0.58983204467485661</v>
      </c>
      <c r="L172" s="41" t="str">
        <f>C172</f>
        <v>Car</v>
      </c>
      <c r="M172" s="285">
        <f t="shared" ref="M172:Q179" si="108">M161/M$169</f>
        <v>0.44066501706470412</v>
      </c>
      <c r="N172" s="285">
        <f t="shared" si="108"/>
        <v>0.44478416861888609</v>
      </c>
      <c r="O172" s="285">
        <f t="shared" si="108"/>
        <v>0.48524167932242945</v>
      </c>
      <c r="P172" s="285">
        <f t="shared" si="108"/>
        <v>0.5403864421712431</v>
      </c>
      <c r="Q172" s="285">
        <f t="shared" si="108"/>
        <v>0.58983204467485661</v>
      </c>
      <c r="R172" s="10"/>
      <c r="S172" s="285">
        <f t="shared" ref="S172:W179" si="109">S161/S$169</f>
        <v>0.44066501706470412</v>
      </c>
      <c r="T172" s="285">
        <f t="shared" si="109"/>
        <v>0.42581375051430626</v>
      </c>
      <c r="U172" s="285">
        <f t="shared" si="109"/>
        <v>0.43297495998117591</v>
      </c>
      <c r="V172" s="285">
        <f t="shared" si="109"/>
        <v>0.44248451179675935</v>
      </c>
      <c r="W172" s="285">
        <f t="shared" si="109"/>
        <v>0.43382063478951982</v>
      </c>
    </row>
    <row r="173" spans="1:25">
      <c r="A173" s="225" t="s">
        <v>16</v>
      </c>
      <c r="B173" s="225" t="str">
        <f t="shared" si="106"/>
        <v>TPPRSUV</v>
      </c>
      <c r="C173" s="225" t="str">
        <f t="shared" si="106"/>
        <v>SUV</v>
      </c>
      <c r="E173" s="285">
        <f t="shared" si="107"/>
        <v>5.0206985833278144E-2</v>
      </c>
      <c r="F173" s="285">
        <f t="shared" si="107"/>
        <v>5.0682186313993273E-2</v>
      </c>
      <c r="G173" s="285">
        <f t="shared" si="107"/>
        <v>5.2322868705372776E-2</v>
      </c>
      <c r="H173" s="285">
        <f t="shared" si="107"/>
        <v>5.0550515728925938E-2</v>
      </c>
      <c r="I173" s="285">
        <f t="shared" si="107"/>
        <v>5.5148584130333106E-2</v>
      </c>
      <c r="J173" s="285">
        <f t="shared" si="107"/>
        <v>6.141588498866335E-2</v>
      </c>
      <c r="K173" s="285">
        <f t="shared" si="107"/>
        <v>6.7035466087618401E-2</v>
      </c>
      <c r="M173" s="285">
        <f t="shared" si="108"/>
        <v>5.0082366792609086E-2</v>
      </c>
      <c r="N173" s="285">
        <f t="shared" si="108"/>
        <v>5.0550515728925938E-2</v>
      </c>
      <c r="O173" s="285">
        <f t="shared" si="108"/>
        <v>5.5148584130333106E-2</v>
      </c>
      <c r="P173" s="285">
        <f t="shared" si="108"/>
        <v>6.141588498866335E-2</v>
      </c>
      <c r="Q173" s="285">
        <f t="shared" si="108"/>
        <v>6.7035466087618401E-2</v>
      </c>
      <c r="R173" s="10"/>
      <c r="S173" s="285">
        <f t="shared" si="109"/>
        <v>5.0082366792609086E-2</v>
      </c>
      <c r="T173" s="285">
        <f t="shared" si="109"/>
        <v>4.8664428630206431E-2</v>
      </c>
      <c r="U173" s="285">
        <f t="shared" si="109"/>
        <v>4.4031351862492456E-2</v>
      </c>
      <c r="V173" s="285">
        <f t="shared" si="109"/>
        <v>3.9551688205296927E-2</v>
      </c>
      <c r="W173" s="285">
        <f t="shared" si="109"/>
        <v>3.8777263444873276E-2</v>
      </c>
    </row>
    <row r="174" spans="1:25">
      <c r="A174" s="225" t="s">
        <v>16</v>
      </c>
      <c r="B174" s="225" t="str">
        <f t="shared" si="106"/>
        <v>TPPRMOT</v>
      </c>
      <c r="C174" s="225" t="str">
        <f t="shared" si="106"/>
        <v>Motorbike</v>
      </c>
      <c r="E174" s="285">
        <f t="shared" si="107"/>
        <v>1.7114794467937594E-2</v>
      </c>
      <c r="F174" s="285">
        <f t="shared" si="107"/>
        <v>1.2733971764981708E-2</v>
      </c>
      <c r="G174" s="285">
        <f t="shared" si="107"/>
        <v>1.3146195561281529E-2</v>
      </c>
      <c r="H174" s="285">
        <f t="shared" si="107"/>
        <v>1.270088934225159E-2</v>
      </c>
      <c r="I174" s="285">
        <f t="shared" si="107"/>
        <v>1.3856160601352885E-2</v>
      </c>
      <c r="J174" s="285">
        <f t="shared" si="107"/>
        <v>1.5430828901536065E-2</v>
      </c>
      <c r="K174" s="285">
        <f t="shared" si="107"/>
        <v>1.6842756686217306E-2</v>
      </c>
      <c r="M174" s="285">
        <f t="shared" si="108"/>
        <v>1.2583266252751621E-2</v>
      </c>
      <c r="N174" s="285">
        <f t="shared" si="108"/>
        <v>1.270088934225159E-2</v>
      </c>
      <c r="O174" s="285">
        <f t="shared" si="108"/>
        <v>1.3856160601352885E-2</v>
      </c>
      <c r="P174" s="285">
        <f t="shared" si="108"/>
        <v>1.5430828901536065E-2</v>
      </c>
      <c r="Q174" s="285">
        <f t="shared" si="108"/>
        <v>1.6842756686217306E-2</v>
      </c>
      <c r="R174" s="10"/>
      <c r="S174" s="285">
        <f t="shared" si="109"/>
        <v>1.2583266252751621E-2</v>
      </c>
      <c r="T174" s="285">
        <f t="shared" si="109"/>
        <v>1.2166107157551608E-2</v>
      </c>
      <c r="U174" s="285">
        <f t="shared" si="109"/>
        <v>1.2230931072914572E-2</v>
      </c>
      <c r="V174" s="285">
        <f t="shared" si="109"/>
        <v>1.2359902564155291E-2</v>
      </c>
      <c r="W174" s="285">
        <f t="shared" si="109"/>
        <v>1.2117894826522899E-2</v>
      </c>
    </row>
    <row r="175" spans="1:25">
      <c r="A175" s="225" t="s">
        <v>16</v>
      </c>
      <c r="B175" s="225" t="str">
        <f t="shared" si="106"/>
        <v>TPPUBUS</v>
      </c>
      <c r="C175" s="225" t="str">
        <f t="shared" si="106"/>
        <v>Bus</v>
      </c>
      <c r="E175" s="285">
        <f t="shared" si="107"/>
        <v>5.7827091408099295E-2</v>
      </c>
      <c r="F175" s="285">
        <f t="shared" si="107"/>
        <v>6.128166467203372E-2</v>
      </c>
      <c r="G175" s="285">
        <f t="shared" si="107"/>
        <v>5.9317549706787973E-2</v>
      </c>
      <c r="H175" s="285">
        <f t="shared" si="107"/>
        <v>5.9565272547819237E-2</v>
      </c>
      <c r="I175" s="285">
        <f t="shared" si="107"/>
        <v>6.4945783877146931E-2</v>
      </c>
      <c r="J175" s="285">
        <f t="shared" si="107"/>
        <v>4.4654288507082203E-2</v>
      </c>
      <c r="K175" s="285">
        <f t="shared" si="107"/>
        <v>2.5923725127067428E-2</v>
      </c>
      <c r="M175" s="285">
        <f t="shared" si="108"/>
        <v>6.2280710581211172E-2</v>
      </c>
      <c r="N175" s="285">
        <f t="shared" si="108"/>
        <v>5.9565272547819237E-2</v>
      </c>
      <c r="O175" s="285">
        <f t="shared" si="108"/>
        <v>6.4945783877146931E-2</v>
      </c>
      <c r="P175" s="285">
        <f t="shared" si="108"/>
        <v>4.4654288507082203E-2</v>
      </c>
      <c r="Q175" s="285">
        <f t="shared" si="108"/>
        <v>2.5923725127067428E-2</v>
      </c>
      <c r="R175" s="10"/>
      <c r="S175" s="285">
        <f t="shared" si="109"/>
        <v>6.2280710581211172E-2</v>
      </c>
      <c r="T175" s="285">
        <f t="shared" si="109"/>
        <v>6.2205909907936438E-2</v>
      </c>
      <c r="U175" s="285">
        <f t="shared" si="109"/>
        <v>7.1570393557325168E-2</v>
      </c>
      <c r="V175" s="285">
        <f t="shared" si="109"/>
        <v>4.9056860505018444E-2</v>
      </c>
      <c r="W175" s="285">
        <f t="shared" si="109"/>
        <v>2.0495648856001431E-2</v>
      </c>
    </row>
    <row r="176" spans="1:25">
      <c r="A176" s="225" t="s">
        <v>16</v>
      </c>
      <c r="B176" s="225" t="str">
        <f t="shared" si="106"/>
        <v>TPPUMBT</v>
      </c>
      <c r="C176" s="225" t="str">
        <f t="shared" si="106"/>
        <v>Minibus</v>
      </c>
      <c r="E176" s="285">
        <f t="shared" si="107"/>
        <v>0.3694284531633632</v>
      </c>
      <c r="F176" s="285">
        <f t="shared" si="107"/>
        <v>0.36429592660421278</v>
      </c>
      <c r="G176" s="285">
        <f t="shared" si="107"/>
        <v>0.35330520588580733</v>
      </c>
      <c r="H176" s="285">
        <f t="shared" si="107"/>
        <v>0.35072705932751691</v>
      </c>
      <c r="I176" s="285">
        <f t="shared" si="107"/>
        <v>0.30083785316326073</v>
      </c>
      <c r="J176" s="285">
        <f t="shared" si="107"/>
        <v>0.23625023207190249</v>
      </c>
      <c r="K176" s="285">
        <f t="shared" si="107"/>
        <v>0.1825748476523906</v>
      </c>
      <c r="M176" s="285">
        <f t="shared" si="108"/>
        <v>0.36671586548085189</v>
      </c>
      <c r="N176" s="285">
        <f t="shared" si="108"/>
        <v>0.35072705932751691</v>
      </c>
      <c r="O176" s="285">
        <f t="shared" si="108"/>
        <v>0.30083785316326073</v>
      </c>
      <c r="P176" s="285">
        <f t="shared" si="108"/>
        <v>0.23625023207190249</v>
      </c>
      <c r="Q176" s="285">
        <f t="shared" si="108"/>
        <v>0.1825748476523906</v>
      </c>
      <c r="R176" s="10"/>
      <c r="S176" s="285">
        <f t="shared" si="109"/>
        <v>0.36671586548085189</v>
      </c>
      <c r="T176" s="285">
        <f t="shared" si="109"/>
        <v>0.36627543065950025</v>
      </c>
      <c r="U176" s="285">
        <f t="shared" si="109"/>
        <v>0.33152396141009099</v>
      </c>
      <c r="V176" s="285">
        <f t="shared" si="109"/>
        <v>0.25954270164200288</v>
      </c>
      <c r="W176" s="285">
        <f t="shared" si="109"/>
        <v>0.17803844232774804</v>
      </c>
    </row>
    <row r="177" spans="1:42">
      <c r="A177" s="225" t="s">
        <v>16</v>
      </c>
      <c r="B177" s="225" t="str">
        <f t="shared" si="106"/>
        <v>TPPUBRT</v>
      </c>
      <c r="C177" s="225" t="str">
        <f t="shared" si="106"/>
        <v>BRT</v>
      </c>
      <c r="E177" s="285">
        <f t="shared" si="107"/>
        <v>1.9700724641309843E-3</v>
      </c>
      <c r="F177" s="285">
        <f t="shared" si="107"/>
        <v>2.0869963800739791E-3</v>
      </c>
      <c r="G177" s="285">
        <f t="shared" si="107"/>
        <v>2.0238762295486197E-3</v>
      </c>
      <c r="H177" s="285">
        <f t="shared" si="107"/>
        <v>1.868976129052094E-2</v>
      </c>
      <c r="I177" s="285">
        <f t="shared" si="107"/>
        <v>3.9337628951674475E-2</v>
      </c>
      <c r="J177" s="285">
        <f t="shared" si="107"/>
        <v>6.2935086415661617E-2</v>
      </c>
      <c r="K177" s="285">
        <f t="shared" si="107"/>
        <v>7.8450986581525495E-2</v>
      </c>
      <c r="M177" s="285">
        <f t="shared" si="108"/>
        <v>1.9614626721300163E-3</v>
      </c>
      <c r="N177" s="285">
        <f t="shared" si="108"/>
        <v>1.868976129052094E-2</v>
      </c>
      <c r="O177" s="285">
        <f t="shared" si="108"/>
        <v>3.9337628951674475E-2</v>
      </c>
      <c r="P177" s="285">
        <f t="shared" si="108"/>
        <v>6.2935086415661617E-2</v>
      </c>
      <c r="Q177" s="285">
        <f t="shared" si="108"/>
        <v>7.8450986581525495E-2</v>
      </c>
      <c r="R177" s="10"/>
      <c r="S177" s="285">
        <f t="shared" si="109"/>
        <v>1.9614626721300163E-3</v>
      </c>
      <c r="T177" s="285">
        <f t="shared" si="109"/>
        <v>1.9141579865475503E-2</v>
      </c>
      <c r="U177" s="285">
        <f t="shared" si="109"/>
        <v>5.8177984611219452E-2</v>
      </c>
      <c r="V177" s="285">
        <f t="shared" si="109"/>
        <v>0.13763710314344316</v>
      </c>
      <c r="W177" s="285">
        <f t="shared" si="109"/>
        <v>0.24327756382531088</v>
      </c>
    </row>
    <row r="178" spans="1:42">
      <c r="A178" s="225" t="s">
        <v>16</v>
      </c>
      <c r="B178" s="225" t="str">
        <f t="shared" si="106"/>
        <v>TPPUMER</v>
      </c>
      <c r="C178" s="225" t="str">
        <f t="shared" si="106"/>
        <v>Metro Rail</v>
      </c>
      <c r="E178" s="285">
        <f t="shared" si="107"/>
        <v>6.4163609147420642E-2</v>
      </c>
      <c r="F178" s="285">
        <f t="shared" si="107"/>
        <v>6.531092831706832E-2</v>
      </c>
      <c r="G178" s="285">
        <f t="shared" si="107"/>
        <v>6.2026084626631832E-2</v>
      </c>
      <c r="H178" s="285">
        <f t="shared" si="107"/>
        <v>6.0915486501965946E-2</v>
      </c>
      <c r="I178" s="285">
        <f t="shared" si="107"/>
        <v>3.8397177368882575E-2</v>
      </c>
      <c r="J178" s="285">
        <f t="shared" si="107"/>
        <v>3.6501717363370892E-2</v>
      </c>
      <c r="K178" s="285">
        <f t="shared" si="107"/>
        <v>3.6793865784610233E-2</v>
      </c>
      <c r="M178" s="285">
        <f t="shared" si="108"/>
        <v>6.3692477553878246E-2</v>
      </c>
      <c r="N178" s="285">
        <f t="shared" si="108"/>
        <v>6.0915486501965946E-2</v>
      </c>
      <c r="O178" s="285">
        <f t="shared" si="108"/>
        <v>3.8397177368882575E-2</v>
      </c>
      <c r="P178" s="285">
        <f t="shared" si="108"/>
        <v>3.6501717363370892E-2</v>
      </c>
      <c r="Q178" s="285">
        <f t="shared" si="108"/>
        <v>3.6793865784610233E-2</v>
      </c>
      <c r="R178" s="10"/>
      <c r="S178" s="285">
        <f t="shared" si="109"/>
        <v>6.3692477553878246E-2</v>
      </c>
      <c r="T178" s="285">
        <f t="shared" si="109"/>
        <v>6.3615981313563955E-2</v>
      </c>
      <c r="U178" s="285">
        <f t="shared" si="109"/>
        <v>4.2313772068402804E-2</v>
      </c>
      <c r="V178" s="285">
        <f t="shared" si="109"/>
        <v>4.0100508075601643E-2</v>
      </c>
      <c r="W178" s="285">
        <f t="shared" si="109"/>
        <v>4.066360903763544E-2</v>
      </c>
    </row>
    <row r="179" spans="1:42">
      <c r="A179" s="225" t="s">
        <v>16</v>
      </c>
      <c r="B179" s="225" t="str">
        <f t="shared" si="106"/>
        <v>TPPUGAT</v>
      </c>
      <c r="C179" s="225" t="str">
        <f t="shared" si="106"/>
        <v>Gautrain</v>
      </c>
      <c r="E179" s="285">
        <f t="shared" si="107"/>
        <v>2.027695222145391E-3</v>
      </c>
      <c r="F179" s="285">
        <f t="shared" si="107"/>
        <v>2.2084247146265472E-3</v>
      </c>
      <c r="G179" s="285">
        <f t="shared" si="107"/>
        <v>2.1693321537735212E-3</v>
      </c>
      <c r="H179" s="285">
        <f t="shared" si="107"/>
        <v>2.0668466421132278E-3</v>
      </c>
      <c r="I179" s="285">
        <f t="shared" si="107"/>
        <v>2.2351325849199405E-3</v>
      </c>
      <c r="J179" s="285">
        <f t="shared" si="107"/>
        <v>2.4255195805402302E-3</v>
      </c>
      <c r="K179" s="285">
        <f t="shared" si="107"/>
        <v>2.5463074057137337E-3</v>
      </c>
      <c r="M179" s="285">
        <f t="shared" si="108"/>
        <v>2.0188336018639617E-3</v>
      </c>
      <c r="N179" s="285">
        <f t="shared" si="108"/>
        <v>2.0668466421132278E-3</v>
      </c>
      <c r="O179" s="285">
        <f t="shared" si="108"/>
        <v>2.2351325849199405E-3</v>
      </c>
      <c r="P179" s="285">
        <f t="shared" si="108"/>
        <v>2.4255195805402302E-3</v>
      </c>
      <c r="Q179" s="285">
        <f t="shared" si="108"/>
        <v>2.5463074057137337E-3</v>
      </c>
      <c r="S179" s="285">
        <f t="shared" si="109"/>
        <v>2.0188336018639617E-3</v>
      </c>
      <c r="T179" s="285">
        <f t="shared" si="109"/>
        <v>2.1168119514595194E-3</v>
      </c>
      <c r="U179" s="285">
        <f t="shared" si="109"/>
        <v>7.1766454363786812E-3</v>
      </c>
      <c r="V179" s="285">
        <f t="shared" si="109"/>
        <v>1.9266724067722299E-2</v>
      </c>
      <c r="W179" s="285">
        <f t="shared" si="109"/>
        <v>3.2808942892388296E-2</v>
      </c>
    </row>
    <row r="180" spans="1:42">
      <c r="A180" s="225" t="s">
        <v>16</v>
      </c>
    </row>
    <row r="181" spans="1:42">
      <c r="A181" s="225" t="s">
        <v>16</v>
      </c>
      <c r="C181" s="225" t="s">
        <v>145</v>
      </c>
      <c r="E181" s="34">
        <f t="shared" ref="E181:K181" si="110">SUM(E172:E173)</f>
        <v>0.48746828412690296</v>
      </c>
      <c r="F181" s="34">
        <f t="shared" si="110"/>
        <v>0.49208208754700283</v>
      </c>
      <c r="G181" s="34">
        <f t="shared" si="110"/>
        <v>0.50801175583616909</v>
      </c>
      <c r="H181" s="34">
        <f t="shared" si="110"/>
        <v>0.49533468434781203</v>
      </c>
      <c r="I181" s="34">
        <f t="shared" si="110"/>
        <v>0.54039026345276253</v>
      </c>
      <c r="J181" s="34">
        <f t="shared" si="110"/>
        <v>0.60180232715990645</v>
      </c>
      <c r="K181" s="34">
        <f t="shared" si="110"/>
        <v>0.65686751076247507</v>
      </c>
      <c r="M181" s="34">
        <f>SUM(M172:M173)</f>
        <v>0.4907473838573132</v>
      </c>
      <c r="N181" s="34">
        <f>SUM(N172:N173)</f>
        <v>0.49533468434781203</v>
      </c>
      <c r="O181" s="34">
        <f>SUM(O172:O173)</f>
        <v>0.54039026345276253</v>
      </c>
      <c r="P181" s="34">
        <f>SUM(P172:P173)</f>
        <v>0.60180232715990645</v>
      </c>
      <c r="Q181" s="34">
        <f>SUM(Q172:Q173)</f>
        <v>0.65686751076247507</v>
      </c>
      <c r="S181" s="34">
        <f>SUM(S172:S173)</f>
        <v>0.4907473838573132</v>
      </c>
      <c r="T181" s="34">
        <f>SUM(T172:T173)</f>
        <v>0.47447817914451268</v>
      </c>
      <c r="U181" s="34">
        <f>SUM(U172:U173)</f>
        <v>0.47700631184366837</v>
      </c>
      <c r="V181" s="34">
        <f>SUM(V172:V173)</f>
        <v>0.48203620000205627</v>
      </c>
      <c r="W181" s="34">
        <f>SUM(W172:W173)</f>
        <v>0.47259789823439308</v>
      </c>
    </row>
    <row r="182" spans="1:42">
      <c r="A182" s="225" t="s">
        <v>16</v>
      </c>
      <c r="C182" s="225" t="s">
        <v>146</v>
      </c>
      <c r="E182" s="34">
        <f t="shared" ref="E182:K182" si="111">1-E181</f>
        <v>0.51253171587309709</v>
      </c>
      <c r="F182" s="34">
        <f t="shared" si="111"/>
        <v>0.50791791245299711</v>
      </c>
      <c r="G182" s="34">
        <f t="shared" si="111"/>
        <v>0.49198824416383091</v>
      </c>
      <c r="H182" s="34">
        <f t="shared" si="111"/>
        <v>0.50466531565218797</v>
      </c>
      <c r="I182" s="34">
        <f t="shared" si="111"/>
        <v>0.45960973654723747</v>
      </c>
      <c r="J182" s="34">
        <f t="shared" si="111"/>
        <v>0.39819767284009355</v>
      </c>
      <c r="K182" s="34">
        <f t="shared" si="111"/>
        <v>0.34313248923752493</v>
      </c>
      <c r="M182" s="34">
        <f>1-M181</f>
        <v>0.5092526161426868</v>
      </c>
      <c r="N182" s="34">
        <f>1-N181</f>
        <v>0.50466531565218797</v>
      </c>
      <c r="O182" s="34">
        <f>1-O181</f>
        <v>0.45960973654723747</v>
      </c>
      <c r="P182" s="34">
        <f>1-P181</f>
        <v>0.39819767284009355</v>
      </c>
      <c r="Q182" s="34">
        <f>1-Q181</f>
        <v>0.34313248923752493</v>
      </c>
      <c r="S182" s="34">
        <f>1-S181</f>
        <v>0.5092526161426868</v>
      </c>
      <c r="T182" s="34">
        <f>1-T181</f>
        <v>0.52552182085548726</v>
      </c>
      <c r="U182" s="34">
        <f>1-U181</f>
        <v>0.52299368815633163</v>
      </c>
      <c r="V182" s="34">
        <f>1-V181</f>
        <v>0.51796379999794373</v>
      </c>
      <c r="W182" s="34">
        <f>1-W181</f>
        <v>0.52740210176560698</v>
      </c>
    </row>
    <row r="183" spans="1:42">
      <c r="A183" s="225" t="s">
        <v>16</v>
      </c>
      <c r="T183" s="34">
        <f>T182/M182</f>
        <v>1.0319472187222736</v>
      </c>
      <c r="U183" s="34">
        <f>U182/M182</f>
        <v>1.0269828206632026</v>
      </c>
    </row>
    <row r="184" spans="1:42">
      <c r="A184" s="225" t="s">
        <v>16</v>
      </c>
    </row>
    <row r="185" spans="1:42" ht="15.75" thickBot="1">
      <c r="A185" s="225" t="s">
        <v>16</v>
      </c>
      <c r="C185" s="270" t="s">
        <v>204</v>
      </c>
      <c r="E185" s="7">
        <v>2012</v>
      </c>
      <c r="F185" s="7">
        <f>F4</f>
        <v>2015</v>
      </c>
      <c r="G185" s="7">
        <f>G4</f>
        <v>2017</v>
      </c>
      <c r="H185" s="7">
        <v>2020</v>
      </c>
      <c r="I185" s="7">
        <v>2030</v>
      </c>
      <c r="J185" s="7">
        <v>2040</v>
      </c>
      <c r="K185" s="7">
        <v>2050</v>
      </c>
      <c r="L185" s="225">
        <f>L4</f>
        <v>0</v>
      </c>
      <c r="M185" s="225">
        <f t="shared" ref="M185:AJ185" si="112">M4</f>
        <v>0</v>
      </c>
      <c r="N185" s="225">
        <f t="shared" si="112"/>
        <v>0</v>
      </c>
      <c r="O185" s="225">
        <f t="shared" si="112"/>
        <v>0</v>
      </c>
      <c r="P185" s="225">
        <f t="shared" si="112"/>
        <v>0</v>
      </c>
      <c r="Q185" s="225">
        <f t="shared" si="112"/>
        <v>0</v>
      </c>
      <c r="R185" s="225">
        <f t="shared" si="112"/>
        <v>0</v>
      </c>
      <c r="S185" s="225">
        <f t="shared" si="112"/>
        <v>0</v>
      </c>
      <c r="T185" s="225">
        <f t="shared" si="112"/>
        <v>0</v>
      </c>
      <c r="U185" s="225">
        <f t="shared" si="112"/>
        <v>0</v>
      </c>
      <c r="V185" s="225">
        <f t="shared" si="112"/>
        <v>0</v>
      </c>
      <c r="W185" s="225">
        <f t="shared" si="112"/>
        <v>0</v>
      </c>
      <c r="X185" s="225">
        <f t="shared" si="112"/>
        <v>0</v>
      </c>
      <c r="Y185" s="225">
        <f t="shared" si="112"/>
        <v>0</v>
      </c>
      <c r="Z185" s="225">
        <f t="shared" si="112"/>
        <v>0</v>
      </c>
      <c r="AA185" s="225">
        <f t="shared" si="112"/>
        <v>0</v>
      </c>
      <c r="AB185" s="225">
        <f t="shared" si="112"/>
        <v>0</v>
      </c>
      <c r="AC185" s="225">
        <f t="shared" si="112"/>
        <v>0</v>
      </c>
      <c r="AD185" s="225">
        <f t="shared" si="112"/>
        <v>0</v>
      </c>
      <c r="AE185" s="225">
        <f t="shared" si="112"/>
        <v>0</v>
      </c>
      <c r="AF185" s="225">
        <f t="shared" si="112"/>
        <v>0</v>
      </c>
      <c r="AG185" s="225">
        <f t="shared" si="112"/>
        <v>0</v>
      </c>
      <c r="AH185" s="225">
        <f t="shared" si="112"/>
        <v>0</v>
      </c>
      <c r="AI185" s="225">
        <f t="shared" si="112"/>
        <v>0</v>
      </c>
      <c r="AJ185" s="225">
        <f t="shared" si="112"/>
        <v>0</v>
      </c>
    </row>
    <row r="186" spans="1:42">
      <c r="A186" s="225" t="s">
        <v>16</v>
      </c>
      <c r="B186" s="225" t="str">
        <f>B149</f>
        <v>TPPRCAR</v>
      </c>
      <c r="C186" s="225" t="str">
        <f>C149</f>
        <v>Car Priv.Veh. Vehicle km</v>
      </c>
      <c r="E186" s="10">
        <f t="shared" ref="E186:K193" si="113">E149</f>
        <v>83.445737773819317</v>
      </c>
      <c r="F186" s="10">
        <f>F149</f>
        <v>89.733699794807748</v>
      </c>
      <c r="G186" s="226">
        <f>G149</f>
        <v>92.953865761419351</v>
      </c>
      <c r="H186" s="226">
        <f t="shared" si="113"/>
        <v>93.071928339220463</v>
      </c>
      <c r="I186" s="10">
        <f t="shared" si="113"/>
        <v>119.09424745033492</v>
      </c>
      <c r="J186" s="10">
        <f t="shared" si="113"/>
        <v>159.09241047195033</v>
      </c>
      <c r="K186" s="10">
        <f t="shared" si="113"/>
        <v>207.94004526176084</v>
      </c>
      <c r="L186" s="294">
        <f t="shared" ref="L186:L193" si="114">E186</f>
        <v>83.445737773819317</v>
      </c>
      <c r="M186" s="276">
        <f t="shared" ref="M186:AJ193" si="115">IF(M$4&lt;=$H$148,($H186-$F186)/10,IF(AND(M$4&gt;$H$148,M$4&lt;=$I$148),($I186-$H186)/10,IF(AND(M$4&gt;$I$148,M$4&lt;=$J$148),($J186-$I186)/2,($K186-$J186)/2)))+L186</f>
        <v>83.779560628260583</v>
      </c>
      <c r="N186" s="276">
        <f t="shared" si="115"/>
        <v>84.113383482701849</v>
      </c>
      <c r="O186" s="276">
        <f t="shared" si="115"/>
        <v>84.447206337143115</v>
      </c>
      <c r="P186" s="276">
        <f t="shared" si="115"/>
        <v>84.781029191584381</v>
      </c>
      <c r="Q186" s="276">
        <f t="shared" si="115"/>
        <v>85.114852046025646</v>
      </c>
      <c r="R186" s="276">
        <f t="shared" si="115"/>
        <v>85.448674900466912</v>
      </c>
      <c r="S186" s="276">
        <f t="shared" si="115"/>
        <v>85.782497754908178</v>
      </c>
      <c r="T186" s="276">
        <f t="shared" si="115"/>
        <v>86.116320609349444</v>
      </c>
      <c r="U186" s="276">
        <f t="shared" si="115"/>
        <v>86.45014346379071</v>
      </c>
      <c r="V186" s="276">
        <f t="shared" si="115"/>
        <v>86.783966318231975</v>
      </c>
      <c r="W186" s="276">
        <f t="shared" si="115"/>
        <v>87.117789172673241</v>
      </c>
      <c r="X186" s="276">
        <f t="shared" si="115"/>
        <v>87.451612027114507</v>
      </c>
      <c r="Y186" s="276">
        <f t="shared" si="115"/>
        <v>87.785434881555773</v>
      </c>
      <c r="Z186" s="276">
        <f t="shared" si="115"/>
        <v>88.119257735997039</v>
      </c>
      <c r="AA186" s="276">
        <f t="shared" si="115"/>
        <v>88.453080590438304</v>
      </c>
      <c r="AB186" s="276">
        <f t="shared" si="115"/>
        <v>88.78690344487957</v>
      </c>
      <c r="AC186" s="276">
        <f t="shared" si="115"/>
        <v>89.120726299320836</v>
      </c>
      <c r="AD186" s="276">
        <f t="shared" si="115"/>
        <v>89.454549153762102</v>
      </c>
      <c r="AE186" s="276">
        <f t="shared" si="115"/>
        <v>89.788372008203368</v>
      </c>
      <c r="AF186" s="276">
        <f t="shared" si="115"/>
        <v>90.122194862644633</v>
      </c>
      <c r="AG186" s="276">
        <f t="shared" si="115"/>
        <v>90.456017717085899</v>
      </c>
      <c r="AH186" s="276">
        <f t="shared" si="115"/>
        <v>90.789840571527165</v>
      </c>
      <c r="AI186" s="276">
        <f t="shared" si="115"/>
        <v>91.123663425968431</v>
      </c>
      <c r="AJ186" s="276">
        <f t="shared" si="115"/>
        <v>91.457486280409697</v>
      </c>
      <c r="AK186" s="276"/>
      <c r="AL186" s="276"/>
      <c r="AM186" s="276"/>
      <c r="AN186" s="276"/>
      <c r="AO186" s="10"/>
      <c r="AP186" s="10"/>
    </row>
    <row r="187" spans="1:42">
      <c r="A187" s="225" t="s">
        <v>16</v>
      </c>
      <c r="B187" s="225" t="str">
        <f t="shared" ref="B187:C193" si="116">B150</f>
        <v>TPPRSUV</v>
      </c>
      <c r="C187" s="225" t="str">
        <f t="shared" si="116"/>
        <v>SUV Priv.Veh. Vehicle km</v>
      </c>
      <c r="E187" s="10">
        <f t="shared" si="113"/>
        <v>9.5813624270132962</v>
      </c>
      <c r="F187" s="10">
        <f t="shared" si="113"/>
        <v>10.303355480914815</v>
      </c>
      <c r="G187" s="10">
        <f t="shared" si="113"/>
        <v>10.673099676656344</v>
      </c>
      <c r="H187" s="10">
        <f t="shared" si="113"/>
        <v>10.577791003763391</v>
      </c>
      <c r="I187" s="10">
        <f t="shared" si="113"/>
        <v>13.535274080587239</v>
      </c>
      <c r="J187" s="10">
        <f t="shared" si="113"/>
        <v>18.081136796948456</v>
      </c>
      <c r="K187" s="10">
        <f t="shared" si="113"/>
        <v>23.632757796478558</v>
      </c>
      <c r="L187" s="294">
        <f t="shared" si="114"/>
        <v>9.5813624270132962</v>
      </c>
      <c r="M187" s="276">
        <f t="shared" si="115"/>
        <v>9.6088059792981539</v>
      </c>
      <c r="N187" s="276">
        <f t="shared" si="115"/>
        <v>9.6362495315830117</v>
      </c>
      <c r="O187" s="276">
        <f t="shared" si="115"/>
        <v>9.6636930838678694</v>
      </c>
      <c r="P187" s="276">
        <f t="shared" si="115"/>
        <v>9.6911366361527271</v>
      </c>
      <c r="Q187" s="276">
        <f t="shared" si="115"/>
        <v>9.7185801884375849</v>
      </c>
      <c r="R187" s="276">
        <f t="shared" si="115"/>
        <v>9.7460237407224426</v>
      </c>
      <c r="S187" s="276">
        <f t="shared" si="115"/>
        <v>9.7734672930073003</v>
      </c>
      <c r="T187" s="276">
        <f t="shared" si="115"/>
        <v>9.8009108452921581</v>
      </c>
      <c r="U187" s="276">
        <f t="shared" si="115"/>
        <v>9.8283543975770158</v>
      </c>
      <c r="V187" s="276">
        <f t="shared" si="115"/>
        <v>9.8557979498618735</v>
      </c>
      <c r="W187" s="276">
        <f t="shared" si="115"/>
        <v>9.8832415021467312</v>
      </c>
      <c r="X187" s="276">
        <f t="shared" si="115"/>
        <v>9.910685054431589</v>
      </c>
      <c r="Y187" s="276">
        <f t="shared" si="115"/>
        <v>9.9381286067164467</v>
      </c>
      <c r="Z187" s="276">
        <f t="shared" si="115"/>
        <v>9.9655721590013044</v>
      </c>
      <c r="AA187" s="276">
        <f t="shared" si="115"/>
        <v>9.9930157112861622</v>
      </c>
      <c r="AB187" s="276">
        <f t="shared" si="115"/>
        <v>10.02045926357102</v>
      </c>
      <c r="AC187" s="276">
        <f t="shared" si="115"/>
        <v>10.047902815855878</v>
      </c>
      <c r="AD187" s="276">
        <f t="shared" si="115"/>
        <v>10.075346368140735</v>
      </c>
      <c r="AE187" s="276">
        <f t="shared" si="115"/>
        <v>10.102789920425593</v>
      </c>
      <c r="AF187" s="276">
        <f t="shared" si="115"/>
        <v>10.130233472710451</v>
      </c>
      <c r="AG187" s="276">
        <f t="shared" si="115"/>
        <v>10.157677024995309</v>
      </c>
      <c r="AH187" s="276">
        <f t="shared" si="115"/>
        <v>10.185120577280166</v>
      </c>
      <c r="AI187" s="276">
        <f t="shared" si="115"/>
        <v>10.212564129565024</v>
      </c>
      <c r="AJ187" s="276">
        <f t="shared" si="115"/>
        <v>10.240007681849882</v>
      </c>
      <c r="AK187" s="276"/>
      <c r="AL187" s="276"/>
      <c r="AM187" s="276"/>
      <c r="AN187" s="276"/>
      <c r="AO187" s="10"/>
      <c r="AP187" s="10"/>
    </row>
    <row r="188" spans="1:42">
      <c r="A188" s="225" t="s">
        <v>16</v>
      </c>
      <c r="B188" s="225" t="str">
        <f t="shared" si="116"/>
        <v>TPPRMOT</v>
      </c>
      <c r="C188" s="225" t="str">
        <f t="shared" si="116"/>
        <v>Motorbikes Priv.Veh. Vehicle km</v>
      </c>
      <c r="E188" s="10">
        <f t="shared" si="113"/>
        <v>3.2661400787071582</v>
      </c>
      <c r="F188" s="10">
        <f t="shared" si="113"/>
        <v>2.5887327939188354</v>
      </c>
      <c r="G188" s="10">
        <f t="shared" si="113"/>
        <v>2.6816315516730675</v>
      </c>
      <c r="H188" s="10">
        <f t="shared" si="113"/>
        <v>2.6576851113585604</v>
      </c>
      <c r="I188" s="10">
        <f t="shared" si="113"/>
        <v>3.4007569623313376</v>
      </c>
      <c r="J188" s="10">
        <f t="shared" si="113"/>
        <v>4.5429114684333021</v>
      </c>
      <c r="K188" s="10">
        <f t="shared" si="113"/>
        <v>5.9377641809804977</v>
      </c>
      <c r="L188" s="294">
        <f t="shared" si="114"/>
        <v>3.2661400787071582</v>
      </c>
      <c r="M188" s="276">
        <f t="shared" si="115"/>
        <v>3.2730353104511307</v>
      </c>
      <c r="N188" s="276">
        <f t="shared" si="115"/>
        <v>3.2799305421951033</v>
      </c>
      <c r="O188" s="276">
        <f t="shared" si="115"/>
        <v>3.2868257739390758</v>
      </c>
      <c r="P188" s="276">
        <f t="shared" si="115"/>
        <v>3.2937210056830484</v>
      </c>
      <c r="Q188" s="276">
        <f t="shared" si="115"/>
        <v>3.3006162374270209</v>
      </c>
      <c r="R188" s="276">
        <f t="shared" si="115"/>
        <v>3.3075114691709935</v>
      </c>
      <c r="S188" s="276">
        <f t="shared" si="115"/>
        <v>3.314406700914966</v>
      </c>
      <c r="T188" s="276">
        <f t="shared" si="115"/>
        <v>3.3213019326589386</v>
      </c>
      <c r="U188" s="276">
        <f t="shared" si="115"/>
        <v>3.3281971644029111</v>
      </c>
      <c r="V188" s="276">
        <f t="shared" si="115"/>
        <v>3.3350923961468837</v>
      </c>
      <c r="W188" s="276">
        <f t="shared" si="115"/>
        <v>3.3419876278908562</v>
      </c>
      <c r="X188" s="276">
        <f t="shared" si="115"/>
        <v>3.3488828596348288</v>
      </c>
      <c r="Y188" s="276">
        <f t="shared" si="115"/>
        <v>3.3557780913788013</v>
      </c>
      <c r="Z188" s="276">
        <f t="shared" si="115"/>
        <v>3.3626733231227739</v>
      </c>
      <c r="AA188" s="276">
        <f t="shared" si="115"/>
        <v>3.3695685548667464</v>
      </c>
      <c r="AB188" s="276">
        <f t="shared" si="115"/>
        <v>3.376463786610719</v>
      </c>
      <c r="AC188" s="276">
        <f t="shared" si="115"/>
        <v>3.3833590183546915</v>
      </c>
      <c r="AD188" s="276">
        <f t="shared" si="115"/>
        <v>3.3902542500986641</v>
      </c>
      <c r="AE188" s="276">
        <f t="shared" si="115"/>
        <v>3.3971494818426367</v>
      </c>
      <c r="AF188" s="276">
        <f t="shared" si="115"/>
        <v>3.4040447135866092</v>
      </c>
      <c r="AG188" s="276">
        <f t="shared" si="115"/>
        <v>3.4109399453305818</v>
      </c>
      <c r="AH188" s="276">
        <f t="shared" si="115"/>
        <v>3.4178351770745543</v>
      </c>
      <c r="AI188" s="276">
        <f t="shared" si="115"/>
        <v>3.4247304088185269</v>
      </c>
      <c r="AJ188" s="276">
        <f t="shared" si="115"/>
        <v>3.4316256405624994</v>
      </c>
      <c r="AK188" s="276"/>
      <c r="AL188" s="276"/>
      <c r="AM188" s="276"/>
      <c r="AN188" s="276"/>
      <c r="AO188" s="10"/>
      <c r="AP188" s="10"/>
    </row>
    <row r="189" spans="1:42">
      <c r="A189" s="225" t="s">
        <v>16</v>
      </c>
      <c r="B189" s="225" t="str">
        <f t="shared" si="116"/>
        <v>TPPUBUS</v>
      </c>
      <c r="C189" s="225" t="str">
        <f t="shared" si="116"/>
        <v>Bus vehicle km</v>
      </c>
      <c r="E189" s="10">
        <f t="shared" si="113"/>
        <v>0.61799148971758899</v>
      </c>
      <c r="F189" s="10">
        <f t="shared" si="113"/>
        <v>0.65</v>
      </c>
      <c r="G189" s="10">
        <f t="shared" si="113"/>
        <v>0.671544296289739</v>
      </c>
      <c r="H189" s="10">
        <f t="shared" si="113"/>
        <v>0.69799217120588097</v>
      </c>
      <c r="I189" s="10">
        <f t="shared" si="113"/>
        <v>0.89263040828724971</v>
      </c>
      <c r="J189" s="10">
        <f t="shared" si="113"/>
        <v>0.73620068742957312</v>
      </c>
      <c r="K189" s="10">
        <f t="shared" si="113"/>
        <v>0.51179401830881177</v>
      </c>
      <c r="L189" s="294">
        <f t="shared" si="114"/>
        <v>0.61799148971758899</v>
      </c>
      <c r="M189" s="276">
        <f t="shared" si="115"/>
        <v>0.62279070683817706</v>
      </c>
      <c r="N189" s="276">
        <f t="shared" si="115"/>
        <v>0.62758992395876512</v>
      </c>
      <c r="O189" s="276">
        <f t="shared" si="115"/>
        <v>0.63238914107935318</v>
      </c>
      <c r="P189" s="276">
        <f t="shared" si="115"/>
        <v>0.63718835819994124</v>
      </c>
      <c r="Q189" s="276">
        <f t="shared" si="115"/>
        <v>0.6419875753205293</v>
      </c>
      <c r="R189" s="276">
        <f t="shared" si="115"/>
        <v>0.64678679244111736</v>
      </c>
      <c r="S189" s="276">
        <f t="shared" si="115"/>
        <v>0.65158600956170543</v>
      </c>
      <c r="T189" s="276">
        <f t="shared" si="115"/>
        <v>0.65638522668229349</v>
      </c>
      <c r="U189" s="276">
        <f t="shared" si="115"/>
        <v>0.66118444380288155</v>
      </c>
      <c r="V189" s="276">
        <f t="shared" si="115"/>
        <v>0.66598366092346961</v>
      </c>
      <c r="W189" s="276">
        <f t="shared" si="115"/>
        <v>0.67078287804405767</v>
      </c>
      <c r="X189" s="276">
        <f t="shared" si="115"/>
        <v>0.67558209516464574</v>
      </c>
      <c r="Y189" s="276">
        <f t="shared" si="115"/>
        <v>0.6803813122852338</v>
      </c>
      <c r="Z189" s="276">
        <f t="shared" si="115"/>
        <v>0.68518052940582186</v>
      </c>
      <c r="AA189" s="276">
        <f t="shared" si="115"/>
        <v>0.68997974652640992</v>
      </c>
      <c r="AB189" s="276">
        <f t="shared" si="115"/>
        <v>0.69477896364699798</v>
      </c>
      <c r="AC189" s="276">
        <f t="shared" si="115"/>
        <v>0.69957818076758604</v>
      </c>
      <c r="AD189" s="276">
        <f t="shared" si="115"/>
        <v>0.70437739788817411</v>
      </c>
      <c r="AE189" s="276">
        <f t="shared" si="115"/>
        <v>0.70917661500876217</v>
      </c>
      <c r="AF189" s="276">
        <f t="shared" si="115"/>
        <v>0.71397583212935023</v>
      </c>
      <c r="AG189" s="276">
        <f t="shared" si="115"/>
        <v>0.71877504924993829</v>
      </c>
      <c r="AH189" s="276">
        <f t="shared" si="115"/>
        <v>0.72357426637052635</v>
      </c>
      <c r="AI189" s="276">
        <f t="shared" si="115"/>
        <v>0.72837348349111442</v>
      </c>
      <c r="AJ189" s="276">
        <f t="shared" si="115"/>
        <v>0.73317270061170248</v>
      </c>
      <c r="AK189" s="276"/>
      <c r="AL189" s="276"/>
      <c r="AM189" s="276"/>
      <c r="AN189" s="276"/>
      <c r="AO189" s="10"/>
      <c r="AP189" s="10"/>
    </row>
    <row r="190" spans="1:42">
      <c r="A190" s="225" t="s">
        <v>16</v>
      </c>
      <c r="B190" s="225" t="str">
        <f t="shared" si="116"/>
        <v>TPPUMBT</v>
      </c>
      <c r="C190" s="225" t="str">
        <f t="shared" si="116"/>
        <v>Minibus vehicle km</v>
      </c>
      <c r="E190" s="10">
        <f t="shared" si="113"/>
        <v>7.0500705068475851</v>
      </c>
      <c r="F190" s="10">
        <f t="shared" si="113"/>
        <v>6.9</v>
      </c>
      <c r="G190" s="10">
        <f t="shared" si="113"/>
        <v>7.1425530000000004</v>
      </c>
      <c r="H190" s="10">
        <f t="shared" si="113"/>
        <v>7.339030036459377</v>
      </c>
      <c r="I190" s="10">
        <f t="shared" si="113"/>
        <v>7.3835491166137359</v>
      </c>
      <c r="J190" s="10">
        <f t="shared" si="113"/>
        <v>6.9553223326365616</v>
      </c>
      <c r="K190" s="10">
        <f t="shared" si="113"/>
        <v>6.4365139919491972</v>
      </c>
      <c r="L190" s="294">
        <f t="shared" si="114"/>
        <v>7.0500705068475851</v>
      </c>
      <c r="M190" s="276">
        <f t="shared" si="115"/>
        <v>7.0939735104935231</v>
      </c>
      <c r="N190" s="276">
        <f t="shared" si="115"/>
        <v>7.1378765141394611</v>
      </c>
      <c r="O190" s="276">
        <f t="shared" si="115"/>
        <v>7.1817795177853991</v>
      </c>
      <c r="P190" s="276">
        <f t="shared" si="115"/>
        <v>7.2256825214313372</v>
      </c>
      <c r="Q190" s="276">
        <f t="shared" si="115"/>
        <v>7.2695855250772752</v>
      </c>
      <c r="R190" s="276">
        <f t="shared" si="115"/>
        <v>7.3134885287232132</v>
      </c>
      <c r="S190" s="276">
        <f t="shared" si="115"/>
        <v>7.3573915323691512</v>
      </c>
      <c r="T190" s="276">
        <f t="shared" si="115"/>
        <v>7.4012945360150892</v>
      </c>
      <c r="U190" s="276">
        <f t="shared" si="115"/>
        <v>7.4451975396610273</v>
      </c>
      <c r="V190" s="276">
        <f t="shared" si="115"/>
        <v>7.4891005433069653</v>
      </c>
      <c r="W190" s="276">
        <f t="shared" si="115"/>
        <v>7.5330035469529033</v>
      </c>
      <c r="X190" s="276">
        <f t="shared" si="115"/>
        <v>7.5769065505988413</v>
      </c>
      <c r="Y190" s="276">
        <f t="shared" si="115"/>
        <v>7.6208095542447793</v>
      </c>
      <c r="Z190" s="276">
        <f t="shared" si="115"/>
        <v>7.6647125578907174</v>
      </c>
      <c r="AA190" s="276">
        <f t="shared" si="115"/>
        <v>7.7086155615366554</v>
      </c>
      <c r="AB190" s="276">
        <f t="shared" si="115"/>
        <v>7.7525185651825934</v>
      </c>
      <c r="AC190" s="276">
        <f t="shared" si="115"/>
        <v>7.7964215688285314</v>
      </c>
      <c r="AD190" s="276">
        <f t="shared" si="115"/>
        <v>7.8403245724744695</v>
      </c>
      <c r="AE190" s="276">
        <f t="shared" si="115"/>
        <v>7.8842275761204075</v>
      </c>
      <c r="AF190" s="276">
        <f t="shared" si="115"/>
        <v>7.9281305797663455</v>
      </c>
      <c r="AG190" s="276">
        <f t="shared" si="115"/>
        <v>7.9720335834122835</v>
      </c>
      <c r="AH190" s="276">
        <f t="shared" si="115"/>
        <v>8.0159365870582207</v>
      </c>
      <c r="AI190" s="276">
        <f t="shared" si="115"/>
        <v>8.0598395907041578</v>
      </c>
      <c r="AJ190" s="276">
        <f t="shared" si="115"/>
        <v>8.1037425943500949</v>
      </c>
      <c r="AK190" s="276"/>
      <c r="AL190" s="276"/>
      <c r="AM190" s="276"/>
      <c r="AN190" s="276"/>
      <c r="AO190" s="10"/>
      <c r="AP190" s="10"/>
    </row>
    <row r="191" spans="1:42">
      <c r="A191" s="225" t="s">
        <v>16</v>
      </c>
      <c r="B191" s="225" t="str">
        <f t="shared" si="116"/>
        <v>TPPUBRT</v>
      </c>
      <c r="C191" s="225" t="str">
        <f t="shared" si="116"/>
        <v>BRT vehicle km</v>
      </c>
      <c r="E191" s="10">
        <f t="shared" si="113"/>
        <v>2.1053938341249277E-2</v>
      </c>
      <c r="F191" s="10">
        <f t="shared" si="113"/>
        <v>2.2136272803750311E-2</v>
      </c>
      <c r="G191" s="10">
        <f t="shared" si="113"/>
        <v>2.2912654771952382E-2</v>
      </c>
      <c r="H191" s="10">
        <f t="shared" si="113"/>
        <v>0.21900860189999996</v>
      </c>
      <c r="I191" s="10">
        <f t="shared" si="113"/>
        <v>0.54066579377358781</v>
      </c>
      <c r="J191" s="10">
        <f t="shared" si="113"/>
        <v>1.0375902389599432</v>
      </c>
      <c r="K191" s="10">
        <f t="shared" si="113"/>
        <v>1.5488030931529777</v>
      </c>
      <c r="L191" s="294">
        <f t="shared" si="114"/>
        <v>2.1053938341249277E-2</v>
      </c>
      <c r="M191" s="276">
        <f t="shared" si="115"/>
        <v>4.0741171250874245E-2</v>
      </c>
      <c r="N191" s="276">
        <f t="shared" si="115"/>
        <v>6.0428404160499209E-2</v>
      </c>
      <c r="O191" s="276">
        <f t="shared" si="115"/>
        <v>8.0115637070124174E-2</v>
      </c>
      <c r="P191" s="276">
        <f t="shared" si="115"/>
        <v>9.9802869979749131E-2</v>
      </c>
      <c r="Q191" s="276">
        <f t="shared" si="115"/>
        <v>0.11949010288937409</v>
      </c>
      <c r="R191" s="276">
        <f t="shared" si="115"/>
        <v>0.13917733579899905</v>
      </c>
      <c r="S191" s="276">
        <f t="shared" si="115"/>
        <v>0.158864568708624</v>
      </c>
      <c r="T191" s="276">
        <f t="shared" si="115"/>
        <v>0.17855180161824896</v>
      </c>
      <c r="U191" s="276">
        <f t="shared" si="115"/>
        <v>0.19823903452787392</v>
      </c>
      <c r="V191" s="276">
        <f t="shared" si="115"/>
        <v>0.21792626743749888</v>
      </c>
      <c r="W191" s="276">
        <f t="shared" si="115"/>
        <v>0.23761350034712383</v>
      </c>
      <c r="X191" s="276">
        <f t="shared" si="115"/>
        <v>0.25730073325674879</v>
      </c>
      <c r="Y191" s="276">
        <f t="shared" si="115"/>
        <v>0.27698796616637378</v>
      </c>
      <c r="Z191" s="276">
        <f t="shared" si="115"/>
        <v>0.29667519907599876</v>
      </c>
      <c r="AA191" s="276">
        <f t="shared" si="115"/>
        <v>0.31636243198562375</v>
      </c>
      <c r="AB191" s="276">
        <f t="shared" si="115"/>
        <v>0.33604966489524873</v>
      </c>
      <c r="AC191" s="276">
        <f t="shared" si="115"/>
        <v>0.35573689780487372</v>
      </c>
      <c r="AD191" s="276">
        <f t="shared" si="115"/>
        <v>0.3754241307144987</v>
      </c>
      <c r="AE191" s="276">
        <f t="shared" si="115"/>
        <v>0.39511136362412369</v>
      </c>
      <c r="AF191" s="276">
        <f t="shared" si="115"/>
        <v>0.41479859653374868</v>
      </c>
      <c r="AG191" s="276">
        <f t="shared" si="115"/>
        <v>0.43448582944337366</v>
      </c>
      <c r="AH191" s="276">
        <f t="shared" si="115"/>
        <v>0.45417306235299865</v>
      </c>
      <c r="AI191" s="276">
        <f t="shared" si="115"/>
        <v>0.47386029526262363</v>
      </c>
      <c r="AJ191" s="276">
        <f t="shared" si="115"/>
        <v>0.49354752817224862</v>
      </c>
      <c r="AK191" s="276"/>
      <c r="AL191" s="276"/>
      <c r="AM191" s="276"/>
      <c r="AN191" s="276"/>
      <c r="AO191" s="10"/>
      <c r="AP191" s="10"/>
    </row>
    <row r="192" spans="1:42">
      <c r="A192" s="225" t="s">
        <v>16</v>
      </c>
      <c r="B192" s="225" t="str">
        <f t="shared" si="116"/>
        <v>TPPUMER</v>
      </c>
      <c r="C192" s="225" t="str">
        <f t="shared" si="116"/>
        <v>Metro Rail pkm</v>
      </c>
      <c r="E192" s="10">
        <f t="shared" si="113"/>
        <v>17.142728190682369</v>
      </c>
      <c r="F192" s="10">
        <f t="shared" si="113"/>
        <v>17.318435960123196</v>
      </c>
      <c r="G192" s="10">
        <f t="shared" si="113"/>
        <v>17.555202279129503</v>
      </c>
      <c r="H192" s="10">
        <f t="shared" si="113"/>
        <v>17.845353032438364</v>
      </c>
      <c r="I192" s="10">
        <f t="shared" si="113"/>
        <v>13.193500049478992</v>
      </c>
      <c r="J192" s="10">
        <f t="shared" si="113"/>
        <v>15.044797663169364</v>
      </c>
      <c r="K192" s="10">
        <f t="shared" si="113"/>
        <v>18.159890531472183</v>
      </c>
      <c r="L192" s="294">
        <f t="shared" si="114"/>
        <v>17.142728190682369</v>
      </c>
      <c r="M192" s="276">
        <f t="shared" si="115"/>
        <v>17.195419897913887</v>
      </c>
      <c r="N192" s="276">
        <f t="shared" si="115"/>
        <v>17.248111605145404</v>
      </c>
      <c r="O192" s="276">
        <f t="shared" si="115"/>
        <v>17.300803312376921</v>
      </c>
      <c r="P192" s="276">
        <f t="shared" si="115"/>
        <v>17.353495019608438</v>
      </c>
      <c r="Q192" s="276">
        <f t="shared" si="115"/>
        <v>17.406186726839955</v>
      </c>
      <c r="R192" s="276">
        <f t="shared" si="115"/>
        <v>17.458878434071472</v>
      </c>
      <c r="S192" s="276">
        <f t="shared" si="115"/>
        <v>17.51157014130299</v>
      </c>
      <c r="T192" s="276">
        <f t="shared" si="115"/>
        <v>17.564261848534507</v>
      </c>
      <c r="U192" s="276">
        <f t="shared" si="115"/>
        <v>17.616953555766024</v>
      </c>
      <c r="V192" s="276">
        <f t="shared" si="115"/>
        <v>17.669645262997541</v>
      </c>
      <c r="W192" s="276">
        <f t="shared" si="115"/>
        <v>17.722336970229058</v>
      </c>
      <c r="X192" s="276">
        <f t="shared" si="115"/>
        <v>17.775028677460575</v>
      </c>
      <c r="Y192" s="276">
        <f t="shared" si="115"/>
        <v>17.827720384692093</v>
      </c>
      <c r="Z192" s="276">
        <f t="shared" si="115"/>
        <v>17.88041209192361</v>
      </c>
      <c r="AA192" s="276">
        <f t="shared" si="115"/>
        <v>17.933103799155127</v>
      </c>
      <c r="AB192" s="276">
        <f t="shared" si="115"/>
        <v>17.985795506386644</v>
      </c>
      <c r="AC192" s="276">
        <f t="shared" si="115"/>
        <v>18.038487213618161</v>
      </c>
      <c r="AD192" s="276">
        <f t="shared" si="115"/>
        <v>18.091178920849678</v>
      </c>
      <c r="AE192" s="276">
        <f t="shared" si="115"/>
        <v>18.143870628081196</v>
      </c>
      <c r="AF192" s="276">
        <f t="shared" si="115"/>
        <v>18.196562335312713</v>
      </c>
      <c r="AG192" s="276">
        <f t="shared" si="115"/>
        <v>18.24925404254423</v>
      </c>
      <c r="AH192" s="276">
        <f t="shared" si="115"/>
        <v>18.301945749775747</v>
      </c>
      <c r="AI192" s="276">
        <f t="shared" si="115"/>
        <v>18.354637457007264</v>
      </c>
      <c r="AJ192" s="276">
        <f t="shared" si="115"/>
        <v>18.407329164238782</v>
      </c>
      <c r="AK192" s="276"/>
      <c r="AL192" s="276"/>
      <c r="AM192" s="276"/>
      <c r="AN192" s="276"/>
      <c r="AO192" s="10"/>
      <c r="AP192" s="10"/>
    </row>
    <row r="193" spans="1:61">
      <c r="A193" s="225" t="s">
        <v>16</v>
      </c>
      <c r="B193" s="225" t="str">
        <f t="shared" si="116"/>
        <v>TPPUGAT</v>
      </c>
      <c r="C193" s="225" t="str">
        <f t="shared" si="116"/>
        <v>Gautrain pkm</v>
      </c>
      <c r="E193" s="10">
        <f t="shared" si="113"/>
        <v>0.54174365358593757</v>
      </c>
      <c r="F193" s="10">
        <f t="shared" si="113"/>
        <v>0.58560585461802261</v>
      </c>
      <c r="G193" s="10">
        <f t="shared" si="113"/>
        <v>0.6139846646673921</v>
      </c>
      <c r="H193" s="10">
        <f t="shared" si="113"/>
        <v>0.60548819537425813</v>
      </c>
      <c r="I193" s="10">
        <f t="shared" si="113"/>
        <v>0.76800493917638013</v>
      </c>
      <c r="J193" s="10">
        <f t="shared" si="113"/>
        <v>0.99971875169637903</v>
      </c>
      <c r="K193" s="10">
        <f t="shared" si="113"/>
        <v>1.2567492640737796</v>
      </c>
      <c r="L193" s="294">
        <f t="shared" si="114"/>
        <v>0.54174365358593757</v>
      </c>
      <c r="M193" s="276">
        <f t="shared" si="115"/>
        <v>0.54373188766156111</v>
      </c>
      <c r="N193" s="276">
        <f t="shared" si="115"/>
        <v>0.54572012173718465</v>
      </c>
      <c r="O193" s="276">
        <f t="shared" si="115"/>
        <v>0.54770835581280819</v>
      </c>
      <c r="P193" s="276">
        <f t="shared" si="115"/>
        <v>0.54969658988843173</v>
      </c>
      <c r="Q193" s="276">
        <f t="shared" si="115"/>
        <v>0.55168482396405527</v>
      </c>
      <c r="R193" s="276">
        <f t="shared" si="115"/>
        <v>0.55367305803967881</v>
      </c>
      <c r="S193" s="276">
        <f t="shared" si="115"/>
        <v>0.55566129211530235</v>
      </c>
      <c r="T193" s="276">
        <f t="shared" si="115"/>
        <v>0.55764952619092589</v>
      </c>
      <c r="U193" s="276">
        <f t="shared" si="115"/>
        <v>0.55963776026654943</v>
      </c>
      <c r="V193" s="276">
        <f t="shared" si="115"/>
        <v>0.56162599434217297</v>
      </c>
      <c r="W193" s="276">
        <f t="shared" si="115"/>
        <v>0.56361422841779651</v>
      </c>
      <c r="X193" s="276">
        <f t="shared" si="115"/>
        <v>0.56560246249342006</v>
      </c>
      <c r="Y193" s="276">
        <f t="shared" si="115"/>
        <v>0.5675906965690436</v>
      </c>
      <c r="Z193" s="276">
        <f t="shared" si="115"/>
        <v>0.56957893064466714</v>
      </c>
      <c r="AA193" s="276">
        <f t="shared" si="115"/>
        <v>0.57156716472029068</v>
      </c>
      <c r="AB193" s="276">
        <f t="shared" si="115"/>
        <v>0.57355539879591422</v>
      </c>
      <c r="AC193" s="276">
        <f t="shared" si="115"/>
        <v>0.57554363287153776</v>
      </c>
      <c r="AD193" s="276">
        <f t="shared" si="115"/>
        <v>0.5775318669471613</v>
      </c>
      <c r="AE193" s="276">
        <f t="shared" si="115"/>
        <v>0.57952010102278484</v>
      </c>
      <c r="AF193" s="276">
        <f t="shared" si="115"/>
        <v>0.58150833509840838</v>
      </c>
      <c r="AG193" s="276">
        <f t="shared" si="115"/>
        <v>0.58349656917403192</v>
      </c>
      <c r="AH193" s="276">
        <f t="shared" si="115"/>
        <v>0.58548480324965546</v>
      </c>
      <c r="AI193" s="276">
        <f t="shared" si="115"/>
        <v>0.587473037325279</v>
      </c>
      <c r="AJ193" s="276">
        <f t="shared" si="115"/>
        <v>0.58946127140090254</v>
      </c>
      <c r="AK193" s="276"/>
      <c r="AL193" s="276"/>
      <c r="AM193" s="276"/>
      <c r="AN193" s="276"/>
      <c r="AO193" s="10"/>
      <c r="AP193" s="10"/>
    </row>
    <row r="194" spans="1:61">
      <c r="E194" s="10"/>
      <c r="F194" s="10"/>
      <c r="G194" s="10"/>
      <c r="H194" s="10"/>
      <c r="I194" s="10"/>
      <c r="J194" s="10"/>
      <c r="K194" s="10"/>
      <c r="L194" s="294"/>
      <c r="M194" s="276"/>
      <c r="N194" s="276"/>
      <c r="O194" s="276"/>
      <c r="P194" s="276"/>
      <c r="Q194" s="276"/>
      <c r="R194" s="276"/>
      <c r="S194" s="276"/>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10"/>
      <c r="AP194" s="10"/>
    </row>
    <row r="195" spans="1:61" ht="23.25">
      <c r="A195" s="225" t="s">
        <v>16</v>
      </c>
      <c r="B195" s="16" t="s">
        <v>18</v>
      </c>
      <c r="C195" s="16" t="s">
        <v>19</v>
      </c>
      <c r="D195" s="16" t="s">
        <v>20</v>
      </c>
      <c r="E195" s="16" t="s">
        <v>21</v>
      </c>
      <c r="F195" s="16"/>
      <c r="G195" s="16" t="s">
        <v>22</v>
      </c>
      <c r="H195" s="16" t="s">
        <v>23</v>
      </c>
      <c r="I195" s="16" t="s">
        <v>24</v>
      </c>
      <c r="J195" s="17" t="s">
        <v>25</v>
      </c>
      <c r="K195" s="18">
        <v>2012</v>
      </c>
      <c r="L195" s="18">
        <f t="shared" ref="L195:AM195" si="117">1+K195</f>
        <v>2013</v>
      </c>
      <c r="M195" s="18">
        <f t="shared" si="117"/>
        <v>2014</v>
      </c>
      <c r="N195" s="18">
        <f>1+M195</f>
        <v>2015</v>
      </c>
      <c r="O195" s="18">
        <f t="shared" si="117"/>
        <v>2016</v>
      </c>
      <c r="P195" s="18">
        <f t="shared" si="117"/>
        <v>2017</v>
      </c>
      <c r="Q195" s="18">
        <f t="shared" si="117"/>
        <v>2018</v>
      </c>
      <c r="R195" s="18">
        <f t="shared" si="117"/>
        <v>2019</v>
      </c>
      <c r="S195" s="18">
        <f t="shared" si="117"/>
        <v>2020</v>
      </c>
      <c r="T195" s="18">
        <f t="shared" si="117"/>
        <v>2021</v>
      </c>
      <c r="U195" s="18">
        <f t="shared" si="117"/>
        <v>2022</v>
      </c>
      <c r="V195" s="18">
        <f t="shared" si="117"/>
        <v>2023</v>
      </c>
      <c r="W195" s="18">
        <f t="shared" si="117"/>
        <v>2024</v>
      </c>
      <c r="X195" s="18">
        <f t="shared" si="117"/>
        <v>2025</v>
      </c>
      <c r="Y195" s="18">
        <f t="shared" si="117"/>
        <v>2026</v>
      </c>
      <c r="Z195" s="18">
        <f t="shared" si="117"/>
        <v>2027</v>
      </c>
      <c r="AA195" s="18">
        <f t="shared" si="117"/>
        <v>2028</v>
      </c>
      <c r="AB195" s="18">
        <f t="shared" si="117"/>
        <v>2029</v>
      </c>
      <c r="AC195" s="18">
        <f t="shared" si="117"/>
        <v>2030</v>
      </c>
      <c r="AD195" s="18">
        <f t="shared" si="117"/>
        <v>2031</v>
      </c>
      <c r="AE195" s="18">
        <f t="shared" si="117"/>
        <v>2032</v>
      </c>
      <c r="AF195" s="18">
        <f t="shared" si="117"/>
        <v>2033</v>
      </c>
      <c r="AG195" s="18">
        <f t="shared" si="117"/>
        <v>2034</v>
      </c>
      <c r="AH195" s="18">
        <f t="shared" si="117"/>
        <v>2035</v>
      </c>
      <c r="AI195" s="18">
        <f t="shared" si="117"/>
        <v>2036</v>
      </c>
      <c r="AJ195" s="18">
        <f t="shared" si="117"/>
        <v>2037</v>
      </c>
      <c r="AK195" s="18">
        <f t="shared" si="117"/>
        <v>2038</v>
      </c>
      <c r="AL195" s="18">
        <f t="shared" si="117"/>
        <v>2039</v>
      </c>
      <c r="AM195" s="18">
        <f t="shared" si="117"/>
        <v>2040</v>
      </c>
      <c r="AN195" s="18">
        <v>2045</v>
      </c>
      <c r="AO195" s="18">
        <v>2050</v>
      </c>
      <c r="AP195" s="18">
        <v>2060</v>
      </c>
      <c r="AQ195" s="18">
        <v>2070</v>
      </c>
      <c r="AS195" s="18"/>
      <c r="AT195" s="18"/>
      <c r="AW195" s="18"/>
      <c r="AX195" s="18"/>
      <c r="BH195" s="18">
        <v>2012</v>
      </c>
      <c r="BI195" s="18"/>
    </row>
    <row r="196" spans="1:61" s="231" customFormat="1">
      <c r="A196" s="136" t="s">
        <v>16</v>
      </c>
      <c r="B196" s="231" t="s">
        <v>393</v>
      </c>
      <c r="C196" s="231">
        <v>1</v>
      </c>
      <c r="D196" s="231">
        <v>2012</v>
      </c>
      <c r="E196" s="231">
        <v>2015</v>
      </c>
      <c r="F196" s="231">
        <v>2017</v>
      </c>
      <c r="G196" s="231">
        <v>2020</v>
      </c>
      <c r="H196" s="231">
        <v>2030</v>
      </c>
      <c r="I196" s="231">
        <v>2040</v>
      </c>
      <c r="J196" s="280">
        <v>2050</v>
      </c>
      <c r="K196" s="136">
        <f t="shared" ref="K196:AO196" si="118">MATCH(J$209,$E$185:$K$185,$C196)</f>
        <v>1</v>
      </c>
      <c r="L196" s="136">
        <f t="shared" si="118"/>
        <v>1</v>
      </c>
      <c r="M196" s="136">
        <f t="shared" si="118"/>
        <v>1</v>
      </c>
      <c r="N196" s="136">
        <f t="shared" si="118"/>
        <v>2</v>
      </c>
      <c r="O196" s="136">
        <f t="shared" si="118"/>
        <v>2</v>
      </c>
      <c r="P196" s="136">
        <f t="shared" si="118"/>
        <v>3</v>
      </c>
      <c r="Q196" s="136">
        <f t="shared" si="118"/>
        <v>3</v>
      </c>
      <c r="R196" s="136">
        <f t="shared" si="118"/>
        <v>3</v>
      </c>
      <c r="S196" s="136">
        <f t="shared" si="118"/>
        <v>4</v>
      </c>
      <c r="T196" s="136">
        <f t="shared" si="118"/>
        <v>4</v>
      </c>
      <c r="U196" s="136">
        <f t="shared" si="118"/>
        <v>4</v>
      </c>
      <c r="V196" s="136">
        <f t="shared" si="118"/>
        <v>4</v>
      </c>
      <c r="W196" s="136">
        <f t="shared" si="118"/>
        <v>4</v>
      </c>
      <c r="X196" s="136">
        <f t="shared" si="118"/>
        <v>4</v>
      </c>
      <c r="Y196" s="136">
        <f t="shared" si="118"/>
        <v>4</v>
      </c>
      <c r="Z196" s="136">
        <f t="shared" si="118"/>
        <v>4</v>
      </c>
      <c r="AA196" s="136">
        <f t="shared" si="118"/>
        <v>4</v>
      </c>
      <c r="AB196" s="136">
        <f t="shared" si="118"/>
        <v>4</v>
      </c>
      <c r="AC196" s="136">
        <f t="shared" si="118"/>
        <v>5</v>
      </c>
      <c r="AD196" s="136">
        <f t="shared" si="118"/>
        <v>5</v>
      </c>
      <c r="AE196" s="136">
        <f t="shared" si="118"/>
        <v>5</v>
      </c>
      <c r="AF196" s="136">
        <f t="shared" si="118"/>
        <v>5</v>
      </c>
      <c r="AG196" s="136">
        <f t="shared" si="118"/>
        <v>5</v>
      </c>
      <c r="AH196" s="136">
        <f t="shared" si="118"/>
        <v>5</v>
      </c>
      <c r="AI196" s="136">
        <f t="shared" si="118"/>
        <v>5</v>
      </c>
      <c r="AJ196" s="136">
        <f t="shared" si="118"/>
        <v>5</v>
      </c>
      <c r="AK196" s="136">
        <f t="shared" si="118"/>
        <v>5</v>
      </c>
      <c r="AL196" s="136">
        <f t="shared" si="118"/>
        <v>5</v>
      </c>
      <c r="AM196" s="136">
        <f t="shared" si="118"/>
        <v>6</v>
      </c>
      <c r="AN196" s="136">
        <f t="shared" si="118"/>
        <v>6</v>
      </c>
      <c r="AO196" s="136">
        <f t="shared" si="118"/>
        <v>7</v>
      </c>
      <c r="AP196" s="231">
        <f>MATCH(AO$209,$C$210:$I$210,$C196)</f>
        <v>7</v>
      </c>
      <c r="AQ196" s="231">
        <f>MATCH(AP$209,$C$210:$I$210,$C196)</f>
        <v>7</v>
      </c>
      <c r="BH196" s="136">
        <f>MATCH(BG$209,$C$210:$I$210,$C196)</f>
        <v>1</v>
      </c>
    </row>
    <row r="197" spans="1:61">
      <c r="A197" s="41" t="s">
        <v>16</v>
      </c>
      <c r="B197" s="225" t="s">
        <v>394</v>
      </c>
      <c r="C197" s="225">
        <v>0</v>
      </c>
      <c r="D197" s="225">
        <f t="shared" ref="D197:J197" si="119">INDEX($D196:$J196,0,COUNT($D196:$J196)-D198)</f>
        <v>2050</v>
      </c>
      <c r="E197" s="225">
        <f t="shared" si="119"/>
        <v>2040</v>
      </c>
      <c r="F197" s="225">
        <f t="shared" si="119"/>
        <v>2030</v>
      </c>
      <c r="G197" s="225">
        <f t="shared" si="119"/>
        <v>2020</v>
      </c>
      <c r="H197" s="225">
        <f t="shared" si="119"/>
        <v>2017</v>
      </c>
      <c r="I197" s="225">
        <f t="shared" si="119"/>
        <v>2015</v>
      </c>
      <c r="J197" s="143">
        <f t="shared" si="119"/>
        <v>2012</v>
      </c>
      <c r="K197" s="41">
        <f t="shared" ref="K197:AO197" si="120">MATCH(J$209,$E$185:$K$185,$C197)</f>
        <v>1</v>
      </c>
      <c r="L197" s="41" t="e">
        <f t="shared" si="120"/>
        <v>#N/A</v>
      </c>
      <c r="M197" s="41" t="e">
        <f t="shared" si="120"/>
        <v>#N/A</v>
      </c>
      <c r="N197" s="41">
        <f t="shared" si="120"/>
        <v>2</v>
      </c>
      <c r="O197" s="41" t="e">
        <f t="shared" si="120"/>
        <v>#N/A</v>
      </c>
      <c r="P197" s="41">
        <f t="shared" si="120"/>
        <v>3</v>
      </c>
      <c r="Q197" s="41" t="e">
        <f t="shared" si="120"/>
        <v>#N/A</v>
      </c>
      <c r="R197" s="41" t="e">
        <f t="shared" si="120"/>
        <v>#N/A</v>
      </c>
      <c r="S197" s="41">
        <f t="shared" si="120"/>
        <v>4</v>
      </c>
      <c r="T197" s="41" t="e">
        <f t="shared" si="120"/>
        <v>#N/A</v>
      </c>
      <c r="U197" s="41" t="e">
        <f t="shared" si="120"/>
        <v>#N/A</v>
      </c>
      <c r="V197" s="41" t="e">
        <f t="shared" si="120"/>
        <v>#N/A</v>
      </c>
      <c r="W197" s="41" t="e">
        <f t="shared" si="120"/>
        <v>#N/A</v>
      </c>
      <c r="X197" s="41" t="e">
        <f t="shared" si="120"/>
        <v>#N/A</v>
      </c>
      <c r="Y197" s="41" t="e">
        <f t="shared" si="120"/>
        <v>#N/A</v>
      </c>
      <c r="Z197" s="41" t="e">
        <f t="shared" si="120"/>
        <v>#N/A</v>
      </c>
      <c r="AA197" s="41" t="e">
        <f t="shared" si="120"/>
        <v>#N/A</v>
      </c>
      <c r="AB197" s="41" t="e">
        <f t="shared" si="120"/>
        <v>#N/A</v>
      </c>
      <c r="AC197" s="41">
        <f t="shared" si="120"/>
        <v>5</v>
      </c>
      <c r="AD197" s="41" t="e">
        <f t="shared" si="120"/>
        <v>#N/A</v>
      </c>
      <c r="AE197" s="41" t="e">
        <f t="shared" si="120"/>
        <v>#N/A</v>
      </c>
      <c r="AF197" s="41" t="e">
        <f t="shared" si="120"/>
        <v>#N/A</v>
      </c>
      <c r="AG197" s="41" t="e">
        <f t="shared" si="120"/>
        <v>#N/A</v>
      </c>
      <c r="AH197" s="41" t="e">
        <f t="shared" si="120"/>
        <v>#N/A</v>
      </c>
      <c r="AI197" s="41" t="e">
        <f t="shared" si="120"/>
        <v>#N/A</v>
      </c>
      <c r="AJ197" s="41" t="e">
        <f t="shared" si="120"/>
        <v>#N/A</v>
      </c>
      <c r="AK197" s="41" t="e">
        <f t="shared" si="120"/>
        <v>#N/A</v>
      </c>
      <c r="AL197" s="41" t="e">
        <f t="shared" si="120"/>
        <v>#N/A</v>
      </c>
      <c r="AM197" s="41">
        <f t="shared" si="120"/>
        <v>6</v>
      </c>
      <c r="AN197" s="41" t="e">
        <f t="shared" si="120"/>
        <v>#N/A</v>
      </c>
      <c r="AO197" s="41">
        <f t="shared" si="120"/>
        <v>7</v>
      </c>
      <c r="AP197" s="225" t="e">
        <f>MATCH(AO$209,$C$210:$I$210,$C197)</f>
        <v>#N/A</v>
      </c>
      <c r="AQ197" s="225" t="e">
        <f>MATCH(AP$209,$C$210:$I$210,$C197)</f>
        <v>#N/A</v>
      </c>
      <c r="BH197" s="41">
        <f>MATCH(BG$209,$C$210:$I$210,$C197)</f>
        <v>1</v>
      </c>
    </row>
    <row r="198" spans="1:61">
      <c r="A198" s="41" t="s">
        <v>16</v>
      </c>
      <c r="B198" s="225" t="s">
        <v>392</v>
      </c>
      <c r="C198" s="225">
        <v>-1</v>
      </c>
      <c r="D198" s="225">
        <v>0</v>
      </c>
      <c r="E198" s="225">
        <v>1</v>
      </c>
      <c r="F198" s="228">
        <v>2</v>
      </c>
      <c r="G198" s="225">
        <v>3</v>
      </c>
      <c r="H198" s="225">
        <v>4</v>
      </c>
      <c r="I198" s="225">
        <v>5</v>
      </c>
      <c r="J198" s="225">
        <v>6</v>
      </c>
      <c r="K198" s="225">
        <f>MATCH(J$209,$C$211:$I$211,$C198)</f>
        <v>7</v>
      </c>
      <c r="L198" s="225">
        <f>MATCH(K$209,$D$197:$J$197,$C198)</f>
        <v>6</v>
      </c>
      <c r="M198" s="225">
        <f t="shared" ref="M198:AQ198" si="121">MATCH(L$209,$C$211:$I$211,$C198)</f>
        <v>6</v>
      </c>
      <c r="N198" s="225">
        <f t="shared" si="121"/>
        <v>6</v>
      </c>
      <c r="O198" s="225">
        <f t="shared" si="121"/>
        <v>5</v>
      </c>
      <c r="P198" s="225">
        <f t="shared" si="121"/>
        <v>5</v>
      </c>
      <c r="Q198" s="225">
        <f t="shared" si="121"/>
        <v>4</v>
      </c>
      <c r="R198" s="225">
        <f t="shared" si="121"/>
        <v>4</v>
      </c>
      <c r="S198" s="225">
        <f t="shared" si="121"/>
        <v>4</v>
      </c>
      <c r="T198" s="225">
        <f t="shared" si="121"/>
        <v>3</v>
      </c>
      <c r="U198" s="225">
        <f t="shared" si="121"/>
        <v>3</v>
      </c>
      <c r="V198" s="225">
        <f t="shared" si="121"/>
        <v>3</v>
      </c>
      <c r="W198" s="225">
        <f t="shared" si="121"/>
        <v>3</v>
      </c>
      <c r="X198" s="225">
        <f t="shared" si="121"/>
        <v>3</v>
      </c>
      <c r="Y198" s="225">
        <f t="shared" si="121"/>
        <v>3</v>
      </c>
      <c r="Z198" s="225">
        <f t="shared" si="121"/>
        <v>3</v>
      </c>
      <c r="AA198" s="225">
        <f t="shared" si="121"/>
        <v>3</v>
      </c>
      <c r="AB198" s="225">
        <f t="shared" si="121"/>
        <v>3</v>
      </c>
      <c r="AC198" s="225">
        <f t="shared" si="121"/>
        <v>3</v>
      </c>
      <c r="AD198" s="225">
        <f t="shared" si="121"/>
        <v>2</v>
      </c>
      <c r="AE198" s="225">
        <f t="shared" si="121"/>
        <v>2</v>
      </c>
      <c r="AF198" s="225">
        <f t="shared" si="121"/>
        <v>2</v>
      </c>
      <c r="AG198" s="225">
        <f t="shared" si="121"/>
        <v>2</v>
      </c>
      <c r="AH198" s="225">
        <f t="shared" si="121"/>
        <v>2</v>
      </c>
      <c r="AI198" s="225">
        <f t="shared" si="121"/>
        <v>2</v>
      </c>
      <c r="AJ198" s="225">
        <f t="shared" si="121"/>
        <v>2</v>
      </c>
      <c r="AK198" s="225">
        <f t="shared" si="121"/>
        <v>2</v>
      </c>
      <c r="AL198" s="225">
        <f t="shared" si="121"/>
        <v>2</v>
      </c>
      <c r="AM198" s="225">
        <f t="shared" si="121"/>
        <v>2</v>
      </c>
      <c r="AN198" s="225">
        <f t="shared" si="121"/>
        <v>1</v>
      </c>
      <c r="AO198" s="225">
        <f t="shared" si="121"/>
        <v>1</v>
      </c>
      <c r="AP198" s="225" t="e">
        <f t="shared" si="121"/>
        <v>#N/A</v>
      </c>
      <c r="AQ198" s="225" t="e">
        <f t="shared" si="121"/>
        <v>#N/A</v>
      </c>
      <c r="BH198" s="225">
        <f>MATCH(BG$209,$C$211:$I$211,$C198)</f>
        <v>7</v>
      </c>
    </row>
    <row r="199" spans="1:61" s="139" customFormat="1">
      <c r="A199" s="138" t="s">
        <v>16</v>
      </c>
      <c r="B199" s="139" t="s">
        <v>395</v>
      </c>
      <c r="J199" s="144"/>
      <c r="K199" s="229">
        <f>IF(ISNA(K196),-1,IF(ISNA(K198),99,IF(ISNA(K197),K196,0)))</f>
        <v>0</v>
      </c>
      <c r="L199" s="229">
        <f>IF(ISNA(L196),-1,IF(ISNA(L198),99,IF(ISNA(L197),L196,0)))</f>
        <v>1</v>
      </c>
      <c r="M199" s="229">
        <f t="shared" ref="M199:AQ199" si="122">IF(ISNA(M196),-1,IF(ISNA(M198),99,IF(ISNA(M197),M196,0)))</f>
        <v>1</v>
      </c>
      <c r="N199" s="229">
        <f t="shared" si="122"/>
        <v>0</v>
      </c>
      <c r="O199" s="229">
        <f t="shared" si="122"/>
        <v>2</v>
      </c>
      <c r="P199" s="229">
        <f t="shared" ref="P199" si="123">IF(ISNA(P196),-1,IF(ISNA(P198),99,IF(ISNA(P197),P196,0)))</f>
        <v>0</v>
      </c>
      <c r="Q199" s="229">
        <f t="shared" si="122"/>
        <v>3</v>
      </c>
      <c r="R199" s="229">
        <f t="shared" si="122"/>
        <v>3</v>
      </c>
      <c r="S199" s="229">
        <f t="shared" si="122"/>
        <v>0</v>
      </c>
      <c r="T199" s="229">
        <f t="shared" si="122"/>
        <v>4</v>
      </c>
      <c r="U199" s="229">
        <f t="shared" si="122"/>
        <v>4</v>
      </c>
      <c r="V199" s="229">
        <f t="shared" si="122"/>
        <v>4</v>
      </c>
      <c r="W199" s="229">
        <f t="shared" si="122"/>
        <v>4</v>
      </c>
      <c r="X199" s="229">
        <f t="shared" si="122"/>
        <v>4</v>
      </c>
      <c r="Y199" s="229">
        <f t="shared" si="122"/>
        <v>4</v>
      </c>
      <c r="Z199" s="229">
        <f t="shared" si="122"/>
        <v>4</v>
      </c>
      <c r="AA199" s="229">
        <f t="shared" si="122"/>
        <v>4</v>
      </c>
      <c r="AB199" s="229">
        <f t="shared" si="122"/>
        <v>4</v>
      </c>
      <c r="AC199" s="229">
        <f t="shared" si="122"/>
        <v>0</v>
      </c>
      <c r="AD199" s="229">
        <f t="shared" si="122"/>
        <v>5</v>
      </c>
      <c r="AE199" s="229">
        <f t="shared" si="122"/>
        <v>5</v>
      </c>
      <c r="AF199" s="229">
        <f t="shared" si="122"/>
        <v>5</v>
      </c>
      <c r="AG199" s="229">
        <f t="shared" si="122"/>
        <v>5</v>
      </c>
      <c r="AH199" s="229">
        <f t="shared" si="122"/>
        <v>5</v>
      </c>
      <c r="AI199" s="229">
        <f t="shared" si="122"/>
        <v>5</v>
      </c>
      <c r="AJ199" s="229">
        <f t="shared" si="122"/>
        <v>5</v>
      </c>
      <c r="AK199" s="229">
        <f t="shared" si="122"/>
        <v>5</v>
      </c>
      <c r="AL199" s="229">
        <f t="shared" si="122"/>
        <v>5</v>
      </c>
      <c r="AM199" s="229">
        <f t="shared" si="122"/>
        <v>0</v>
      </c>
      <c r="AN199" s="229">
        <f t="shared" si="122"/>
        <v>6</v>
      </c>
      <c r="AO199" s="229">
        <f t="shared" si="122"/>
        <v>0</v>
      </c>
      <c r="AP199" s="229">
        <f t="shared" si="122"/>
        <v>99</v>
      </c>
      <c r="AQ199" s="229">
        <f t="shared" si="122"/>
        <v>99</v>
      </c>
      <c r="AS199" s="229"/>
      <c r="AT199" s="229"/>
      <c r="AW199" s="229"/>
      <c r="AX199" s="229"/>
      <c r="BH199" s="229">
        <f>IF(ISNA(BH196),-1,IF(ISNA(BH198),99,IF(ISNA(BH197),BH196,0)))</f>
        <v>0</v>
      </c>
      <c r="BI199" s="229"/>
    </row>
    <row r="200" spans="1:61">
      <c r="A200" s="225" t="s">
        <v>16</v>
      </c>
      <c r="B200" s="22" t="str">
        <f t="shared" ref="B200:B207" si="124">IF(A200="*","","COM_PROJ")</f>
        <v/>
      </c>
      <c r="C200" s="23" t="str">
        <f t="shared" ref="C200:C207" si="125">IF($A200="*","","-")</f>
        <v/>
      </c>
      <c r="D200" s="61" t="str">
        <f t="shared" ref="D200:D207" si="126">B172</f>
        <v>TPPRCAR</v>
      </c>
      <c r="E200" s="23" t="str">
        <f t="shared" ref="E200:I207" si="127">IF($A200="*","","-")</f>
        <v/>
      </c>
      <c r="F200" s="23"/>
      <c r="G200" s="23" t="str">
        <f t="shared" si="127"/>
        <v/>
      </c>
      <c r="H200" s="23" t="str">
        <f t="shared" si="127"/>
        <v/>
      </c>
      <c r="I200" s="23" t="str">
        <f t="shared" si="127"/>
        <v/>
      </c>
      <c r="J200" s="22" t="str">
        <f t="shared" ref="J200:J207" si="128">IF(A200="*","",0)</f>
        <v/>
      </c>
      <c r="K200" s="226">
        <f t="shared" ref="K200:AP207" si="129">IF(K$199=-1,L200,IF(K$199=99,J200,IF(K$199=0,INDEX($E186:$K186,0,K$197),(INDEX($E186:$K186,0,K$199+1)-INDEX($E186:$K186,0,K$199))/(INDEX($E$185:$K$185,0,K$199+1)-INDEX($E$185:$K$185,0,K$199))+J200)))</f>
        <v>83.445737773819317</v>
      </c>
      <c r="L200" s="226">
        <f t="shared" si="129"/>
        <v>85.54172511414879</v>
      </c>
      <c r="M200" s="226">
        <f t="shared" si="129"/>
        <v>87.637712454478262</v>
      </c>
      <c r="N200" s="226">
        <f t="shared" si="129"/>
        <v>89.733699794807748</v>
      </c>
      <c r="O200" s="226">
        <f t="shared" si="129"/>
        <v>91.34378277811355</v>
      </c>
      <c r="P200" s="226">
        <f t="shared" si="129"/>
        <v>92.953865761419351</v>
      </c>
      <c r="Q200" s="226">
        <f t="shared" si="129"/>
        <v>92.993219954019722</v>
      </c>
      <c r="R200" s="226">
        <f t="shared" si="129"/>
        <v>93.032574146620092</v>
      </c>
      <c r="S200" s="226">
        <f t="shared" si="129"/>
        <v>93.071928339220463</v>
      </c>
      <c r="T200" s="226">
        <f t="shared" si="129"/>
        <v>95.674160250331909</v>
      </c>
      <c r="U200" s="226">
        <f t="shared" si="129"/>
        <v>98.276392161443354</v>
      </c>
      <c r="V200" s="226">
        <f t="shared" si="129"/>
        <v>100.8786240725548</v>
      </c>
      <c r="W200" s="226">
        <f t="shared" si="129"/>
        <v>103.48085598366625</v>
      </c>
      <c r="X200" s="226">
        <f t="shared" si="129"/>
        <v>106.08308789477769</v>
      </c>
      <c r="Y200" s="226">
        <f t="shared" si="129"/>
        <v>108.68531980588914</v>
      </c>
      <c r="Z200" s="226">
        <f t="shared" si="129"/>
        <v>111.28755171700058</v>
      </c>
      <c r="AA200" s="226">
        <f t="shared" si="129"/>
        <v>113.88978362811203</v>
      </c>
      <c r="AB200" s="226">
        <f t="shared" si="129"/>
        <v>116.49201553922347</v>
      </c>
      <c r="AC200" s="226">
        <f t="shared" si="129"/>
        <v>119.09424745033492</v>
      </c>
      <c r="AD200" s="226">
        <f t="shared" si="129"/>
        <v>123.09406375249645</v>
      </c>
      <c r="AE200" s="226">
        <f t="shared" si="129"/>
        <v>127.093880054658</v>
      </c>
      <c r="AF200" s="226">
        <f t="shared" si="129"/>
        <v>131.09369635681955</v>
      </c>
      <c r="AG200" s="226">
        <f t="shared" si="129"/>
        <v>135.0935126589811</v>
      </c>
      <c r="AH200" s="226">
        <f t="shared" si="129"/>
        <v>139.09332896114265</v>
      </c>
      <c r="AI200" s="226">
        <f t="shared" si="129"/>
        <v>143.09314526330419</v>
      </c>
      <c r="AJ200" s="226">
        <f t="shared" si="129"/>
        <v>147.09296156546574</v>
      </c>
      <c r="AK200" s="226">
        <f t="shared" si="129"/>
        <v>151.09277786762729</v>
      </c>
      <c r="AL200" s="226">
        <f t="shared" si="129"/>
        <v>155.09259416978884</v>
      </c>
      <c r="AM200" s="226">
        <f t="shared" si="129"/>
        <v>159.09241047195033</v>
      </c>
      <c r="AN200" s="226">
        <f t="shared" si="129"/>
        <v>163.97717395093139</v>
      </c>
      <c r="AO200" s="226">
        <f t="shared" si="129"/>
        <v>207.94004526176084</v>
      </c>
      <c r="AP200" s="226">
        <f t="shared" si="129"/>
        <v>207.94004526176084</v>
      </c>
      <c r="AQ200" s="226">
        <f t="shared" ref="AQ200:AQ207" si="130">IF(AQ$199=-1,AS200,IF(AQ$199=99,AP200,IF(AQ$199=0,INDEX($E186:$K186,0,AQ$197),(INDEX($E186:$K186,0,AQ$199+1)-INDEX($E186:$K186,0,AQ$199))/(INDEX($E$185:$K$185,0,AQ$199+1)-INDEX($E$185:$K$185,0,AQ$199))+AP200)))</f>
        <v>207.94004526176084</v>
      </c>
      <c r="AS200" s="226"/>
      <c r="AT200" s="226"/>
      <c r="AW200" s="226"/>
      <c r="AX200" s="226"/>
      <c r="BH200" s="226">
        <f t="shared" ref="BH200:BH207" si="131">E186</f>
        <v>83.445737773819317</v>
      </c>
      <c r="BI200" s="130">
        <f t="shared" ref="BI200:BI207" si="132">(K200-BH200)/K200</f>
        <v>0</v>
      </c>
    </row>
    <row r="201" spans="1:61">
      <c r="A201" s="225" t="s">
        <v>16</v>
      </c>
      <c r="B201" s="22" t="str">
        <f t="shared" si="124"/>
        <v/>
      </c>
      <c r="C201" s="23" t="str">
        <f t="shared" si="125"/>
        <v/>
      </c>
      <c r="D201" s="61" t="str">
        <f t="shared" si="126"/>
        <v>TPPRSUV</v>
      </c>
      <c r="E201" s="23" t="str">
        <f t="shared" si="127"/>
        <v/>
      </c>
      <c r="F201" s="23"/>
      <c r="G201" s="23" t="str">
        <f t="shared" si="127"/>
        <v/>
      </c>
      <c r="H201" s="23" t="str">
        <f t="shared" si="127"/>
        <v/>
      </c>
      <c r="I201" s="23" t="str">
        <f t="shared" si="127"/>
        <v/>
      </c>
      <c r="J201" s="22" t="str">
        <f t="shared" si="128"/>
        <v/>
      </c>
      <c r="K201" s="226">
        <f t="shared" si="129"/>
        <v>9.5813624270132962</v>
      </c>
      <c r="L201" s="226">
        <f t="shared" si="129"/>
        <v>9.822026778313802</v>
      </c>
      <c r="M201" s="226">
        <f t="shared" si="129"/>
        <v>10.062691129614308</v>
      </c>
      <c r="N201" s="226">
        <f t="shared" si="129"/>
        <v>10.303355480914815</v>
      </c>
      <c r="O201" s="226">
        <f t="shared" si="129"/>
        <v>10.48822757878558</v>
      </c>
      <c r="P201" s="226">
        <f t="shared" si="129"/>
        <v>10.673099676656344</v>
      </c>
      <c r="Q201" s="226">
        <f t="shared" si="129"/>
        <v>10.64133011902536</v>
      </c>
      <c r="R201" s="226">
        <f t="shared" si="129"/>
        <v>10.609560561394376</v>
      </c>
      <c r="S201" s="226">
        <f t="shared" si="129"/>
        <v>10.577791003763391</v>
      </c>
      <c r="T201" s="226">
        <f t="shared" si="129"/>
        <v>10.873539311445775</v>
      </c>
      <c r="U201" s="226">
        <f t="shared" si="129"/>
        <v>11.169287619128159</v>
      </c>
      <c r="V201" s="226">
        <f t="shared" si="129"/>
        <v>11.465035926810543</v>
      </c>
      <c r="W201" s="226">
        <f t="shared" si="129"/>
        <v>11.760784234492927</v>
      </c>
      <c r="X201" s="226">
        <f t="shared" si="129"/>
        <v>12.056532542175312</v>
      </c>
      <c r="Y201" s="226">
        <f t="shared" si="129"/>
        <v>12.352280849857696</v>
      </c>
      <c r="Z201" s="226">
        <f t="shared" si="129"/>
        <v>12.64802915754008</v>
      </c>
      <c r="AA201" s="226">
        <f t="shared" si="129"/>
        <v>12.943777465222464</v>
      </c>
      <c r="AB201" s="226">
        <f t="shared" si="129"/>
        <v>13.239525772904848</v>
      </c>
      <c r="AC201" s="226">
        <f t="shared" si="129"/>
        <v>13.535274080587239</v>
      </c>
      <c r="AD201" s="226">
        <f t="shared" si="129"/>
        <v>13.989860352223362</v>
      </c>
      <c r="AE201" s="226">
        <f t="shared" si="129"/>
        <v>14.444446623859484</v>
      </c>
      <c r="AF201" s="226">
        <f t="shared" si="129"/>
        <v>14.899032895495607</v>
      </c>
      <c r="AG201" s="226">
        <f t="shared" si="129"/>
        <v>15.353619167131729</v>
      </c>
      <c r="AH201" s="226">
        <f t="shared" si="129"/>
        <v>15.808205438767851</v>
      </c>
      <c r="AI201" s="226">
        <f t="shared" si="129"/>
        <v>16.262791710403974</v>
      </c>
      <c r="AJ201" s="226">
        <f t="shared" si="129"/>
        <v>16.717377982040095</v>
      </c>
      <c r="AK201" s="226">
        <f t="shared" si="129"/>
        <v>17.171964253676215</v>
      </c>
      <c r="AL201" s="226">
        <f t="shared" si="129"/>
        <v>17.626550525312336</v>
      </c>
      <c r="AM201" s="226">
        <f t="shared" si="129"/>
        <v>18.081136796948456</v>
      </c>
      <c r="AN201" s="226">
        <f t="shared" si="129"/>
        <v>18.636298896901465</v>
      </c>
      <c r="AO201" s="226">
        <f t="shared" si="129"/>
        <v>23.632757796478558</v>
      </c>
      <c r="AP201" s="226">
        <f t="shared" si="129"/>
        <v>23.632757796478558</v>
      </c>
      <c r="AQ201" s="226">
        <f t="shared" si="130"/>
        <v>23.632757796478558</v>
      </c>
      <c r="AS201" s="226"/>
      <c r="AT201" s="226"/>
      <c r="AW201" s="226"/>
      <c r="AX201" s="226"/>
      <c r="BH201" s="226">
        <f t="shared" si="131"/>
        <v>9.5813624270132962</v>
      </c>
      <c r="BI201" s="130">
        <f t="shared" si="132"/>
        <v>0</v>
      </c>
    </row>
    <row r="202" spans="1:61">
      <c r="A202" s="225" t="s">
        <v>16</v>
      </c>
      <c r="B202" s="22" t="str">
        <f t="shared" si="124"/>
        <v/>
      </c>
      <c r="C202" s="23" t="str">
        <f t="shared" si="125"/>
        <v/>
      </c>
      <c r="D202" s="61" t="str">
        <f t="shared" si="126"/>
        <v>TPPRMOT</v>
      </c>
      <c r="E202" s="23" t="str">
        <f t="shared" si="127"/>
        <v/>
      </c>
      <c r="F202" s="23"/>
      <c r="G202" s="23" t="str">
        <f t="shared" si="127"/>
        <v/>
      </c>
      <c r="H202" s="23" t="str">
        <f t="shared" si="127"/>
        <v/>
      </c>
      <c r="I202" s="23" t="str">
        <f t="shared" si="127"/>
        <v/>
      </c>
      <c r="J202" s="22" t="str">
        <f t="shared" si="128"/>
        <v/>
      </c>
      <c r="K202" s="226">
        <f t="shared" si="129"/>
        <v>3.2661400787071582</v>
      </c>
      <c r="L202" s="226">
        <f t="shared" si="129"/>
        <v>3.0403376504443838</v>
      </c>
      <c r="M202" s="226">
        <f t="shared" si="129"/>
        <v>2.8145352221816093</v>
      </c>
      <c r="N202" s="226">
        <f t="shared" si="129"/>
        <v>2.5887327939188354</v>
      </c>
      <c r="O202" s="226">
        <f t="shared" si="129"/>
        <v>2.6351821727959512</v>
      </c>
      <c r="P202" s="226">
        <f t="shared" si="129"/>
        <v>2.6816315516730675</v>
      </c>
      <c r="Q202" s="226">
        <f t="shared" si="129"/>
        <v>2.6736494049015653</v>
      </c>
      <c r="R202" s="226">
        <f t="shared" si="129"/>
        <v>2.6656672581300631</v>
      </c>
      <c r="S202" s="226">
        <f t="shared" si="129"/>
        <v>2.6576851113585604</v>
      </c>
      <c r="T202" s="226">
        <f t="shared" si="129"/>
        <v>2.7319922964558381</v>
      </c>
      <c r="U202" s="226">
        <f t="shared" si="129"/>
        <v>2.8062994815531157</v>
      </c>
      <c r="V202" s="226">
        <f t="shared" si="129"/>
        <v>2.8806066666503933</v>
      </c>
      <c r="W202" s="226">
        <f t="shared" si="129"/>
        <v>2.954913851747671</v>
      </c>
      <c r="X202" s="226">
        <f t="shared" si="129"/>
        <v>3.0292210368449486</v>
      </c>
      <c r="Y202" s="226">
        <f t="shared" si="129"/>
        <v>3.1035282219422262</v>
      </c>
      <c r="Z202" s="226">
        <f t="shared" si="129"/>
        <v>3.1778354070395038</v>
      </c>
      <c r="AA202" s="226">
        <f t="shared" si="129"/>
        <v>3.2521425921367815</v>
      </c>
      <c r="AB202" s="226">
        <f t="shared" si="129"/>
        <v>3.3264497772340591</v>
      </c>
      <c r="AC202" s="226">
        <f t="shared" si="129"/>
        <v>3.4007569623313376</v>
      </c>
      <c r="AD202" s="226">
        <f t="shared" si="129"/>
        <v>3.5149724129415341</v>
      </c>
      <c r="AE202" s="226">
        <f t="shared" si="129"/>
        <v>3.6291878635517305</v>
      </c>
      <c r="AF202" s="226">
        <f t="shared" si="129"/>
        <v>3.743403314161927</v>
      </c>
      <c r="AG202" s="226">
        <f t="shared" si="129"/>
        <v>3.8576187647721234</v>
      </c>
      <c r="AH202" s="226">
        <f t="shared" si="129"/>
        <v>3.9718342153823198</v>
      </c>
      <c r="AI202" s="226">
        <f t="shared" si="129"/>
        <v>4.0860496659925163</v>
      </c>
      <c r="AJ202" s="226">
        <f t="shared" si="129"/>
        <v>4.2002651166027132</v>
      </c>
      <c r="AK202" s="226">
        <f t="shared" si="129"/>
        <v>4.3144805672129092</v>
      </c>
      <c r="AL202" s="226">
        <f t="shared" si="129"/>
        <v>4.4286960178231052</v>
      </c>
      <c r="AM202" s="226">
        <f t="shared" si="129"/>
        <v>4.5429114684333021</v>
      </c>
      <c r="AN202" s="226">
        <f t="shared" si="129"/>
        <v>4.6823967396880217</v>
      </c>
      <c r="AO202" s="226">
        <f t="shared" si="129"/>
        <v>5.9377641809804977</v>
      </c>
      <c r="AP202" s="226">
        <f t="shared" si="129"/>
        <v>5.9377641809804977</v>
      </c>
      <c r="AQ202" s="226">
        <f t="shared" si="130"/>
        <v>5.9377641809804977</v>
      </c>
      <c r="AS202" s="226"/>
      <c r="AT202" s="226"/>
      <c r="AW202" s="226"/>
      <c r="AX202" s="226"/>
      <c r="BH202" s="226">
        <f t="shared" si="131"/>
        <v>3.2661400787071582</v>
      </c>
      <c r="BI202" s="130">
        <f t="shared" si="132"/>
        <v>0</v>
      </c>
    </row>
    <row r="203" spans="1:61">
      <c r="A203" s="225" t="s">
        <v>16</v>
      </c>
      <c r="B203" s="22" t="str">
        <f t="shared" si="124"/>
        <v/>
      </c>
      <c r="C203" s="23" t="str">
        <f t="shared" si="125"/>
        <v/>
      </c>
      <c r="D203" s="61" t="str">
        <f t="shared" si="126"/>
        <v>TPPUBUS</v>
      </c>
      <c r="E203" s="23" t="str">
        <f t="shared" si="127"/>
        <v/>
      </c>
      <c r="F203" s="23"/>
      <c r="G203" s="23" t="str">
        <f t="shared" si="127"/>
        <v/>
      </c>
      <c r="H203" s="23" t="str">
        <f t="shared" si="127"/>
        <v/>
      </c>
      <c r="I203" s="23" t="str">
        <f t="shared" si="127"/>
        <v/>
      </c>
      <c r="J203" s="22" t="str">
        <f t="shared" si="128"/>
        <v/>
      </c>
      <c r="K203" s="226">
        <f>INDEX('[3]TS BYDem'!J$10:J$59,MATCH($D203,'[3]TS BYDem'!D$10:D$59,0))</f>
        <v>0.61799148971759088</v>
      </c>
      <c r="L203" s="226">
        <f t="shared" si="129"/>
        <v>0.62866099314506119</v>
      </c>
      <c r="M203" s="226">
        <f t="shared" si="129"/>
        <v>0.63933049657253149</v>
      </c>
      <c r="N203" s="226">
        <f t="shared" si="129"/>
        <v>0.65</v>
      </c>
      <c r="O203" s="226">
        <f t="shared" si="129"/>
        <v>0.66077214814486951</v>
      </c>
      <c r="P203" s="226">
        <f t="shared" si="129"/>
        <v>0.671544296289739</v>
      </c>
      <c r="Q203" s="226">
        <f t="shared" si="129"/>
        <v>0.68036025459511962</v>
      </c>
      <c r="R203" s="226">
        <f t="shared" si="129"/>
        <v>0.68917621290050024</v>
      </c>
      <c r="S203" s="226">
        <f t="shared" si="129"/>
        <v>0.69799217120588097</v>
      </c>
      <c r="T203" s="226">
        <f t="shared" si="129"/>
        <v>0.71745599491401779</v>
      </c>
      <c r="U203" s="226">
        <f t="shared" si="129"/>
        <v>0.73691981862215461</v>
      </c>
      <c r="V203" s="226">
        <f t="shared" si="129"/>
        <v>0.75638364233029143</v>
      </c>
      <c r="W203" s="226">
        <f t="shared" si="129"/>
        <v>0.77584746603842825</v>
      </c>
      <c r="X203" s="226">
        <f t="shared" si="129"/>
        <v>0.79531128974656506</v>
      </c>
      <c r="Y203" s="226">
        <f t="shared" si="129"/>
        <v>0.81477511345470188</v>
      </c>
      <c r="Z203" s="226">
        <f t="shared" si="129"/>
        <v>0.8342389371628387</v>
      </c>
      <c r="AA203" s="226">
        <f t="shared" si="129"/>
        <v>0.85370276087097552</v>
      </c>
      <c r="AB203" s="226">
        <f t="shared" si="129"/>
        <v>0.87316658457911234</v>
      </c>
      <c r="AC203" s="226">
        <f t="shared" si="129"/>
        <v>0.89263040828724971</v>
      </c>
      <c r="AD203" s="226">
        <f t="shared" si="129"/>
        <v>0.87698743620148201</v>
      </c>
      <c r="AE203" s="226">
        <f t="shared" si="129"/>
        <v>0.8613444641157143</v>
      </c>
      <c r="AF203" s="226">
        <f t="shared" si="129"/>
        <v>0.8457014920299466</v>
      </c>
      <c r="AG203" s="226">
        <f t="shared" si="129"/>
        <v>0.8300585199441789</v>
      </c>
      <c r="AH203" s="226">
        <f t="shared" si="129"/>
        <v>0.81441554785841119</v>
      </c>
      <c r="AI203" s="226">
        <f t="shared" si="129"/>
        <v>0.79877257577264349</v>
      </c>
      <c r="AJ203" s="226">
        <f t="shared" si="129"/>
        <v>0.78312960368687579</v>
      </c>
      <c r="AK203" s="226">
        <f t="shared" si="129"/>
        <v>0.76748663160110808</v>
      </c>
      <c r="AL203" s="226">
        <f t="shared" si="129"/>
        <v>0.75184365951534038</v>
      </c>
      <c r="AM203" s="226">
        <f t="shared" si="129"/>
        <v>0.73620068742957312</v>
      </c>
      <c r="AN203" s="226">
        <f t="shared" si="129"/>
        <v>0.71376002051749698</v>
      </c>
      <c r="AO203" s="226">
        <f t="shared" si="129"/>
        <v>0.51179401830881177</v>
      </c>
      <c r="AP203" s="226">
        <f t="shared" si="129"/>
        <v>0.51179401830881177</v>
      </c>
      <c r="AQ203" s="226">
        <f t="shared" si="130"/>
        <v>0.51179401830881177</v>
      </c>
      <c r="AS203" s="226"/>
      <c r="AT203" s="226"/>
      <c r="AW203" s="226"/>
      <c r="AX203" s="226"/>
      <c r="BH203" s="226">
        <f t="shared" si="131"/>
        <v>0.61799148971758899</v>
      </c>
      <c r="BI203" s="130">
        <f t="shared" si="132"/>
        <v>3.0540536128179675E-15</v>
      </c>
    </row>
    <row r="204" spans="1:61">
      <c r="A204" s="225" t="s">
        <v>16</v>
      </c>
      <c r="B204" s="22" t="str">
        <f t="shared" si="124"/>
        <v/>
      </c>
      <c r="C204" s="23" t="str">
        <f t="shared" si="125"/>
        <v/>
      </c>
      <c r="D204" s="61" t="str">
        <f t="shared" si="126"/>
        <v>TPPUMBT</v>
      </c>
      <c r="E204" s="23" t="str">
        <f t="shared" si="127"/>
        <v/>
      </c>
      <c r="F204" s="23"/>
      <c r="G204" s="23" t="str">
        <f t="shared" si="127"/>
        <v/>
      </c>
      <c r="H204" s="23" t="str">
        <f t="shared" si="127"/>
        <v/>
      </c>
      <c r="I204" s="23" t="str">
        <f t="shared" si="127"/>
        <v/>
      </c>
      <c r="J204" s="22" t="str">
        <f t="shared" si="128"/>
        <v/>
      </c>
      <c r="K204" s="226">
        <f>INDEX('[3]TS BYDem'!J$10:J$59,MATCH($D204,'[3]TS BYDem'!D$10:D$59,0))</f>
        <v>6.4978638621089795</v>
      </c>
      <c r="L204" s="226">
        <f t="shared" si="129"/>
        <v>6.4478403598264515</v>
      </c>
      <c r="M204" s="226">
        <f t="shared" si="129"/>
        <v>6.3978168575439236</v>
      </c>
      <c r="N204" s="226">
        <f t="shared" si="129"/>
        <v>6.9</v>
      </c>
      <c r="O204" s="226">
        <f t="shared" si="129"/>
        <v>7.0212765000000008</v>
      </c>
      <c r="P204" s="226">
        <f t="shared" si="129"/>
        <v>7.1425530000000004</v>
      </c>
      <c r="Q204" s="226">
        <f t="shared" si="129"/>
        <v>7.2080453454864593</v>
      </c>
      <c r="R204" s="226">
        <f t="shared" si="129"/>
        <v>7.2735376909729181</v>
      </c>
      <c r="S204" s="226">
        <f t="shared" si="129"/>
        <v>7.339030036459377</v>
      </c>
      <c r="T204" s="226">
        <f t="shared" si="129"/>
        <v>7.3434819444748127</v>
      </c>
      <c r="U204" s="226">
        <f t="shared" si="129"/>
        <v>7.3479338524902484</v>
      </c>
      <c r="V204" s="226">
        <f t="shared" si="129"/>
        <v>7.3523857605056842</v>
      </c>
      <c r="W204" s="226">
        <f t="shared" si="129"/>
        <v>7.3568376685211199</v>
      </c>
      <c r="X204" s="226">
        <f t="shared" si="129"/>
        <v>7.3612895765365556</v>
      </c>
      <c r="Y204" s="226">
        <f t="shared" si="129"/>
        <v>7.3657414845519913</v>
      </c>
      <c r="Z204" s="226">
        <f t="shared" si="129"/>
        <v>7.370193392567427</v>
      </c>
      <c r="AA204" s="226">
        <f t="shared" si="129"/>
        <v>7.3746453005828627</v>
      </c>
      <c r="AB204" s="226">
        <f t="shared" si="129"/>
        <v>7.3790972085982984</v>
      </c>
      <c r="AC204" s="226">
        <f t="shared" si="129"/>
        <v>7.3835491166137359</v>
      </c>
      <c r="AD204" s="226">
        <f t="shared" si="129"/>
        <v>7.3407264382160182</v>
      </c>
      <c r="AE204" s="226">
        <f t="shared" si="129"/>
        <v>7.2979037598183005</v>
      </c>
      <c r="AF204" s="226">
        <f t="shared" si="129"/>
        <v>7.2550810814205828</v>
      </c>
      <c r="AG204" s="226">
        <f t="shared" si="129"/>
        <v>7.2122584030228651</v>
      </c>
      <c r="AH204" s="226">
        <f t="shared" si="129"/>
        <v>7.1694357246251474</v>
      </c>
      <c r="AI204" s="226">
        <f t="shared" si="129"/>
        <v>7.1266130462274297</v>
      </c>
      <c r="AJ204" s="226">
        <f t="shared" si="129"/>
        <v>7.0837903678297121</v>
      </c>
      <c r="AK204" s="226">
        <f t="shared" si="129"/>
        <v>7.0409676894319944</v>
      </c>
      <c r="AL204" s="226">
        <f t="shared" si="129"/>
        <v>6.9981450110342767</v>
      </c>
      <c r="AM204" s="226">
        <f t="shared" si="129"/>
        <v>6.9553223326365616</v>
      </c>
      <c r="AN204" s="226">
        <f t="shared" si="129"/>
        <v>6.9034414985678252</v>
      </c>
      <c r="AO204" s="226">
        <f t="shared" si="129"/>
        <v>6.4365139919491972</v>
      </c>
      <c r="AP204" s="226">
        <f t="shared" si="129"/>
        <v>6.4365139919491972</v>
      </c>
      <c r="AQ204" s="226">
        <f t="shared" si="130"/>
        <v>6.4365139919491972</v>
      </c>
      <c r="AS204" s="226"/>
      <c r="AT204" s="226"/>
      <c r="AW204" s="226"/>
      <c r="AX204" s="226"/>
      <c r="BH204" s="226">
        <f t="shared" si="131"/>
        <v>7.0500705068475851</v>
      </c>
      <c r="BI204" s="130">
        <f t="shared" si="132"/>
        <v>-8.4982796878631223E-2</v>
      </c>
    </row>
    <row r="205" spans="1:61">
      <c r="A205" s="225" t="s">
        <v>16</v>
      </c>
      <c r="B205" s="22" t="str">
        <f t="shared" si="124"/>
        <v/>
      </c>
      <c r="C205" s="23" t="str">
        <f t="shared" si="125"/>
        <v/>
      </c>
      <c r="D205" s="61" t="str">
        <f t="shared" si="126"/>
        <v>TPPUBRT</v>
      </c>
      <c r="E205" s="23" t="str">
        <f t="shared" si="127"/>
        <v/>
      </c>
      <c r="F205" s="23"/>
      <c r="G205" s="23" t="str">
        <f t="shared" si="127"/>
        <v/>
      </c>
      <c r="H205" s="23" t="str">
        <f t="shared" si="127"/>
        <v/>
      </c>
      <c r="I205" s="23" t="str">
        <f t="shared" si="127"/>
        <v/>
      </c>
      <c r="J205" s="22" t="str">
        <f t="shared" si="128"/>
        <v/>
      </c>
      <c r="K205" s="226">
        <f>INDEX('[3]TS BYDem'!J$10:J$59,MATCH($D205,'[3]TS BYDem'!D$10:D$59,0))</f>
        <v>0</v>
      </c>
      <c r="L205" s="226">
        <f t="shared" si="129"/>
        <v>3.6077815416701159E-4</v>
      </c>
      <c r="M205" s="226">
        <f t="shared" si="129"/>
        <v>7.2155630833402318E-4</v>
      </c>
      <c r="N205" s="226">
        <f t="shared" si="129"/>
        <v>2.2136272803750311E-2</v>
      </c>
      <c r="O205" s="226">
        <f t="shared" si="129"/>
        <v>2.2524463787851348E-2</v>
      </c>
      <c r="P205" s="226">
        <f t="shared" si="129"/>
        <v>2.2912654771952382E-2</v>
      </c>
      <c r="Q205" s="226">
        <f t="shared" si="129"/>
        <v>8.8277970481301565E-2</v>
      </c>
      <c r="R205" s="226">
        <f t="shared" si="129"/>
        <v>0.15364328619065076</v>
      </c>
      <c r="S205" s="226">
        <f t="shared" si="129"/>
        <v>0.21900860189999996</v>
      </c>
      <c r="T205" s="226">
        <f t="shared" si="129"/>
        <v>0.25117432108735877</v>
      </c>
      <c r="U205" s="226">
        <f t="shared" si="129"/>
        <v>0.28334004027471754</v>
      </c>
      <c r="V205" s="226">
        <f t="shared" si="129"/>
        <v>0.31550575946207632</v>
      </c>
      <c r="W205" s="226">
        <f t="shared" si="129"/>
        <v>0.3476714786494351</v>
      </c>
      <c r="X205" s="226">
        <f t="shared" si="129"/>
        <v>0.37983719783679387</v>
      </c>
      <c r="Y205" s="226">
        <f t="shared" si="129"/>
        <v>0.41200291702415265</v>
      </c>
      <c r="Z205" s="226">
        <f t="shared" si="129"/>
        <v>0.44416863621151143</v>
      </c>
      <c r="AA205" s="226">
        <f t="shared" si="129"/>
        <v>0.4763343553988702</v>
      </c>
      <c r="AB205" s="226">
        <f t="shared" si="129"/>
        <v>0.50850007458622903</v>
      </c>
      <c r="AC205" s="226">
        <f t="shared" si="129"/>
        <v>0.54066579377358781</v>
      </c>
      <c r="AD205" s="226">
        <f t="shared" si="129"/>
        <v>0.59035823829222334</v>
      </c>
      <c r="AE205" s="226">
        <f t="shared" si="129"/>
        <v>0.64005068281085886</v>
      </c>
      <c r="AF205" s="226">
        <f t="shared" si="129"/>
        <v>0.68974312732949439</v>
      </c>
      <c r="AG205" s="226">
        <f t="shared" si="129"/>
        <v>0.73943557184812991</v>
      </c>
      <c r="AH205" s="226">
        <f t="shared" si="129"/>
        <v>0.78912801636676544</v>
      </c>
      <c r="AI205" s="226">
        <f t="shared" si="129"/>
        <v>0.83882046088540096</v>
      </c>
      <c r="AJ205" s="226">
        <f t="shared" si="129"/>
        <v>0.88851290540403649</v>
      </c>
      <c r="AK205" s="226">
        <f t="shared" si="129"/>
        <v>0.93820534992267202</v>
      </c>
      <c r="AL205" s="226">
        <f t="shared" si="129"/>
        <v>0.98789779444130754</v>
      </c>
      <c r="AM205" s="226">
        <f t="shared" si="129"/>
        <v>1.0375902389599432</v>
      </c>
      <c r="AN205" s="226">
        <f t="shared" si="129"/>
        <v>1.0887115243792467</v>
      </c>
      <c r="AO205" s="226">
        <f t="shared" si="129"/>
        <v>1.5488030931529777</v>
      </c>
      <c r="AP205" s="226">
        <f t="shared" si="129"/>
        <v>1.5488030931529777</v>
      </c>
      <c r="AQ205" s="226">
        <f t="shared" si="130"/>
        <v>1.5488030931529777</v>
      </c>
      <c r="AS205" s="226"/>
      <c r="AT205" s="226"/>
      <c r="AW205" s="226"/>
      <c r="AX205" s="226"/>
      <c r="BH205" s="226">
        <f t="shared" si="131"/>
        <v>2.1053938341249277E-2</v>
      </c>
      <c r="BI205" s="130" t="e">
        <f t="shared" si="132"/>
        <v>#DIV/0!</v>
      </c>
    </row>
    <row r="206" spans="1:61">
      <c r="A206" s="225" t="s">
        <v>16</v>
      </c>
      <c r="B206" s="22" t="str">
        <f t="shared" si="124"/>
        <v/>
      </c>
      <c r="C206" s="23" t="str">
        <f t="shared" si="125"/>
        <v/>
      </c>
      <c r="D206" s="61" t="str">
        <f t="shared" si="126"/>
        <v>TPPUMER</v>
      </c>
      <c r="E206" s="23" t="str">
        <f t="shared" si="127"/>
        <v/>
      </c>
      <c r="F206" s="23"/>
      <c r="G206" s="23" t="str">
        <f t="shared" si="127"/>
        <v/>
      </c>
      <c r="H206" s="23" t="str">
        <f t="shared" si="127"/>
        <v/>
      </c>
      <c r="I206" s="23" t="str">
        <f t="shared" si="127"/>
        <v/>
      </c>
      <c r="J206" s="22" t="str">
        <f t="shared" si="128"/>
        <v/>
      </c>
      <c r="K206" s="226">
        <f>INDEX('[3]TS BYDem'!J$10:J$59,MATCH($D206,'[3]TS BYDem'!D$10:D$59,0))</f>
        <v>15.8</v>
      </c>
      <c r="L206" s="226">
        <f t="shared" si="129"/>
        <v>15.858569256480276</v>
      </c>
      <c r="M206" s="226">
        <f t="shared" si="129"/>
        <v>15.917138512960552</v>
      </c>
      <c r="N206" s="226">
        <f t="shared" si="129"/>
        <v>17.318435960123196</v>
      </c>
      <c r="O206" s="226">
        <f t="shared" si="129"/>
        <v>17.43681911962635</v>
      </c>
      <c r="P206" s="226">
        <f t="shared" si="129"/>
        <v>17.555202279129503</v>
      </c>
      <c r="Q206" s="226">
        <f t="shared" si="129"/>
        <v>17.651919196899122</v>
      </c>
      <c r="R206" s="226">
        <f t="shared" si="129"/>
        <v>17.748636114668741</v>
      </c>
      <c r="S206" s="226">
        <f t="shared" si="129"/>
        <v>17.845353032438364</v>
      </c>
      <c r="T206" s="226">
        <f t="shared" si="129"/>
        <v>17.380167734142425</v>
      </c>
      <c r="U206" s="226">
        <f t="shared" si="129"/>
        <v>16.91498243584649</v>
      </c>
      <c r="V206" s="226">
        <f t="shared" si="129"/>
        <v>16.449797137550554</v>
      </c>
      <c r="W206" s="226">
        <f t="shared" si="129"/>
        <v>15.984611839254617</v>
      </c>
      <c r="X206" s="226">
        <f t="shared" si="129"/>
        <v>15.51942654095868</v>
      </c>
      <c r="Y206" s="226">
        <f t="shared" si="129"/>
        <v>15.054241242662743</v>
      </c>
      <c r="Z206" s="226">
        <f t="shared" si="129"/>
        <v>14.589055944366805</v>
      </c>
      <c r="AA206" s="226">
        <f t="shared" si="129"/>
        <v>14.123870646070868</v>
      </c>
      <c r="AB206" s="226">
        <f t="shared" si="129"/>
        <v>13.658685347774931</v>
      </c>
      <c r="AC206" s="226">
        <f t="shared" si="129"/>
        <v>13.193500049478992</v>
      </c>
      <c r="AD206" s="226">
        <f t="shared" si="129"/>
        <v>13.378629810848029</v>
      </c>
      <c r="AE206" s="226">
        <f t="shared" si="129"/>
        <v>13.563759572217066</v>
      </c>
      <c r="AF206" s="226">
        <f t="shared" si="129"/>
        <v>13.748889333586103</v>
      </c>
      <c r="AG206" s="226">
        <f t="shared" si="129"/>
        <v>13.93401909495514</v>
      </c>
      <c r="AH206" s="226">
        <f t="shared" si="129"/>
        <v>14.119148856324177</v>
      </c>
      <c r="AI206" s="226">
        <f t="shared" si="129"/>
        <v>14.304278617693214</v>
      </c>
      <c r="AJ206" s="226">
        <f t="shared" si="129"/>
        <v>14.489408379062251</v>
      </c>
      <c r="AK206" s="226">
        <f t="shared" si="129"/>
        <v>14.674538140431288</v>
      </c>
      <c r="AL206" s="226">
        <f t="shared" si="129"/>
        <v>14.859667901800325</v>
      </c>
      <c r="AM206" s="226">
        <f t="shared" si="129"/>
        <v>15.044797663169364</v>
      </c>
      <c r="AN206" s="226">
        <f t="shared" si="129"/>
        <v>15.356306949999645</v>
      </c>
      <c r="AO206" s="226">
        <f t="shared" si="129"/>
        <v>18.159890531472183</v>
      </c>
      <c r="AP206" s="226">
        <f t="shared" si="129"/>
        <v>18.159890531472183</v>
      </c>
      <c r="AQ206" s="226">
        <f t="shared" si="130"/>
        <v>18.159890531472183</v>
      </c>
      <c r="AS206" s="226"/>
      <c r="AT206" s="226"/>
      <c r="AW206" s="226"/>
      <c r="AX206" s="226"/>
      <c r="BH206" s="226">
        <f t="shared" si="131"/>
        <v>17.142728190682369</v>
      </c>
      <c r="BI206" s="130">
        <f t="shared" si="132"/>
        <v>-8.4982796878630931E-2</v>
      </c>
    </row>
    <row r="207" spans="1:61">
      <c r="A207" s="225" t="s">
        <v>16</v>
      </c>
      <c r="B207" s="22" t="str">
        <f t="shared" si="124"/>
        <v/>
      </c>
      <c r="C207" s="23" t="str">
        <f t="shared" si="125"/>
        <v/>
      </c>
      <c r="D207" s="61" t="str">
        <f t="shared" si="126"/>
        <v>TPPUGAT</v>
      </c>
      <c r="E207" s="23" t="str">
        <f t="shared" si="127"/>
        <v/>
      </c>
      <c r="F207" s="23"/>
      <c r="G207" s="23" t="str">
        <f t="shared" si="127"/>
        <v/>
      </c>
      <c r="H207" s="23" t="str">
        <f t="shared" si="127"/>
        <v/>
      </c>
      <c r="I207" s="23" t="str">
        <f t="shared" si="127"/>
        <v/>
      </c>
      <c r="J207" s="22" t="str">
        <f t="shared" si="128"/>
        <v/>
      </c>
      <c r="K207" s="226">
        <f>INDEX('[3]TS BYDem'!J$10:J$59,MATCH($D207,'[3]TS BYDem'!D$10:D$59,0))</f>
        <v>0</v>
      </c>
      <c r="L207" s="226">
        <f t="shared" si="129"/>
        <v>1.4620733677361683E-2</v>
      </c>
      <c r="M207" s="226">
        <f t="shared" si="129"/>
        <v>2.9241467354723365E-2</v>
      </c>
      <c r="N207" s="226">
        <f t="shared" si="129"/>
        <v>0.58560585461802261</v>
      </c>
      <c r="O207" s="226">
        <f t="shared" si="129"/>
        <v>0.59979525964270741</v>
      </c>
      <c r="P207" s="226">
        <f t="shared" si="129"/>
        <v>0.6139846646673921</v>
      </c>
      <c r="Q207" s="226">
        <f t="shared" si="129"/>
        <v>0.61115250823634748</v>
      </c>
      <c r="R207" s="226">
        <f t="shared" si="129"/>
        <v>0.60832035180530286</v>
      </c>
      <c r="S207" s="226">
        <f t="shared" si="129"/>
        <v>0.60548819537425813</v>
      </c>
      <c r="T207" s="226">
        <f t="shared" si="129"/>
        <v>0.62173986975447038</v>
      </c>
      <c r="U207" s="226">
        <f t="shared" si="129"/>
        <v>0.63799154413468262</v>
      </c>
      <c r="V207" s="226">
        <f t="shared" si="129"/>
        <v>0.65424321851489486</v>
      </c>
      <c r="W207" s="226">
        <f t="shared" si="129"/>
        <v>0.67049489289510711</v>
      </c>
      <c r="X207" s="226">
        <f t="shared" si="129"/>
        <v>0.68674656727531935</v>
      </c>
      <c r="Y207" s="226">
        <f t="shared" si="129"/>
        <v>0.7029982416555316</v>
      </c>
      <c r="Z207" s="226">
        <f t="shared" si="129"/>
        <v>0.71924991603574384</v>
      </c>
      <c r="AA207" s="226">
        <f t="shared" si="129"/>
        <v>0.73550159041595609</v>
      </c>
      <c r="AB207" s="226">
        <f t="shared" si="129"/>
        <v>0.75175326479616833</v>
      </c>
      <c r="AC207" s="226">
        <f t="shared" si="129"/>
        <v>0.76800493917638013</v>
      </c>
      <c r="AD207" s="226">
        <f t="shared" si="129"/>
        <v>0.79117632042838004</v>
      </c>
      <c r="AE207" s="226">
        <f t="shared" si="129"/>
        <v>0.81434770168037995</v>
      </c>
      <c r="AF207" s="226">
        <f t="shared" si="129"/>
        <v>0.83751908293237987</v>
      </c>
      <c r="AG207" s="226">
        <f t="shared" si="129"/>
        <v>0.86069046418437978</v>
      </c>
      <c r="AH207" s="226">
        <f t="shared" si="129"/>
        <v>0.88386184543637969</v>
      </c>
      <c r="AI207" s="226">
        <f t="shared" si="129"/>
        <v>0.9070332266883796</v>
      </c>
      <c r="AJ207" s="226">
        <f t="shared" si="129"/>
        <v>0.93020460794037951</v>
      </c>
      <c r="AK207" s="226">
        <f t="shared" si="129"/>
        <v>0.95337598919237942</v>
      </c>
      <c r="AL207" s="226">
        <f t="shared" si="129"/>
        <v>0.97654737044437934</v>
      </c>
      <c r="AM207" s="226">
        <f t="shared" si="129"/>
        <v>0.99971875169637903</v>
      </c>
      <c r="AN207" s="226">
        <f t="shared" si="129"/>
        <v>1.0254218029341191</v>
      </c>
      <c r="AO207" s="226">
        <f t="shared" si="129"/>
        <v>1.2567492640737796</v>
      </c>
      <c r="AP207" s="226">
        <f t="shared" si="129"/>
        <v>1.2567492640737796</v>
      </c>
      <c r="AQ207" s="226">
        <f t="shared" si="130"/>
        <v>1.2567492640737796</v>
      </c>
      <c r="AS207" s="226"/>
      <c r="AT207" s="226"/>
      <c r="AW207" s="226"/>
      <c r="AX207" s="226"/>
      <c r="BH207" s="226">
        <f t="shared" si="131"/>
        <v>0.54174365358593757</v>
      </c>
      <c r="BI207" s="130" t="e">
        <f t="shared" si="132"/>
        <v>#DIV/0!</v>
      </c>
    </row>
    <row r="208" spans="1:61">
      <c r="A208" s="225" t="s">
        <v>16</v>
      </c>
      <c r="G208" s="226"/>
      <c r="H208" s="226"/>
      <c r="I208" s="226"/>
      <c r="L208" s="226"/>
      <c r="M208" s="41"/>
      <c r="N208" s="276">
        <f>M214*B42</f>
        <v>89.733699794807748</v>
      </c>
    </row>
    <row r="209" spans="1:60" ht="23.25">
      <c r="A209" s="225" t="s">
        <v>16</v>
      </c>
      <c r="B209" s="16" t="s">
        <v>19</v>
      </c>
      <c r="C209" s="16" t="s">
        <v>20</v>
      </c>
      <c r="D209" s="16" t="s">
        <v>21</v>
      </c>
      <c r="E209" s="16"/>
      <c r="F209" s="16" t="s">
        <v>22</v>
      </c>
      <c r="G209" s="16" t="s">
        <v>23</v>
      </c>
      <c r="H209" s="16" t="s">
        <v>24</v>
      </c>
      <c r="I209" s="17" t="s">
        <v>25</v>
      </c>
      <c r="J209" s="18">
        <v>2012</v>
      </c>
      <c r="K209" s="18">
        <f>1+J209</f>
        <v>2013</v>
      </c>
      <c r="L209" s="18">
        <f t="shared" ref="L209:AL209" si="133">1+K209</f>
        <v>2014</v>
      </c>
      <c r="M209" s="18">
        <f>1+L209</f>
        <v>2015</v>
      </c>
      <c r="N209" s="18">
        <f t="shared" si="133"/>
        <v>2016</v>
      </c>
      <c r="O209" s="18">
        <f t="shared" si="133"/>
        <v>2017</v>
      </c>
      <c r="P209" s="18">
        <f t="shared" si="133"/>
        <v>2018</v>
      </c>
      <c r="Q209" s="18">
        <f t="shared" si="133"/>
        <v>2019</v>
      </c>
      <c r="R209" s="18">
        <f t="shared" si="133"/>
        <v>2020</v>
      </c>
      <c r="S209" s="18">
        <f t="shared" si="133"/>
        <v>2021</v>
      </c>
      <c r="T209" s="18">
        <f t="shared" si="133"/>
        <v>2022</v>
      </c>
      <c r="U209" s="18">
        <f t="shared" si="133"/>
        <v>2023</v>
      </c>
      <c r="V209" s="18">
        <f t="shared" si="133"/>
        <v>2024</v>
      </c>
      <c r="W209" s="18">
        <f t="shared" si="133"/>
        <v>2025</v>
      </c>
      <c r="X209" s="18">
        <f t="shared" si="133"/>
        <v>2026</v>
      </c>
      <c r="Y209" s="18">
        <f t="shared" si="133"/>
        <v>2027</v>
      </c>
      <c r="Z209" s="18">
        <f t="shared" si="133"/>
        <v>2028</v>
      </c>
      <c r="AA209" s="18">
        <f t="shared" si="133"/>
        <v>2029</v>
      </c>
      <c r="AB209" s="18">
        <f t="shared" si="133"/>
        <v>2030</v>
      </c>
      <c r="AC209" s="18">
        <f t="shared" si="133"/>
        <v>2031</v>
      </c>
      <c r="AD209" s="18">
        <f t="shared" si="133"/>
        <v>2032</v>
      </c>
      <c r="AE209" s="18">
        <f t="shared" si="133"/>
        <v>2033</v>
      </c>
      <c r="AF209" s="18">
        <f t="shared" si="133"/>
        <v>2034</v>
      </c>
      <c r="AG209" s="18">
        <f t="shared" si="133"/>
        <v>2035</v>
      </c>
      <c r="AH209" s="18">
        <f t="shared" si="133"/>
        <v>2036</v>
      </c>
      <c r="AI209" s="18">
        <f t="shared" si="133"/>
        <v>2037</v>
      </c>
      <c r="AJ209" s="18">
        <f t="shared" si="133"/>
        <v>2038</v>
      </c>
      <c r="AK209" s="18">
        <f t="shared" si="133"/>
        <v>2039</v>
      </c>
      <c r="AL209" s="18">
        <f t="shared" si="133"/>
        <v>2040</v>
      </c>
      <c r="AM209" s="18">
        <v>2045</v>
      </c>
      <c r="AN209" s="18">
        <v>2050</v>
      </c>
      <c r="AO209" s="18">
        <v>2060</v>
      </c>
      <c r="AP209" s="18">
        <v>2070</v>
      </c>
      <c r="AR209" s="18"/>
      <c r="AS209" s="18"/>
      <c r="AV209" s="18"/>
      <c r="AW209" s="18"/>
      <c r="BG209" s="18">
        <v>2012</v>
      </c>
      <c r="BH209" s="18"/>
    </row>
    <row r="210" spans="1:60" s="231" customFormat="1">
      <c r="A210" s="136" t="s">
        <v>16</v>
      </c>
      <c r="B210" s="231">
        <v>1</v>
      </c>
      <c r="C210" s="231">
        <v>2012</v>
      </c>
      <c r="D210" s="231">
        <f>F4</f>
        <v>2015</v>
      </c>
      <c r="E210" s="231">
        <v>2017</v>
      </c>
      <c r="F210" s="231">
        <v>2020</v>
      </c>
      <c r="G210" s="231">
        <v>2030</v>
      </c>
      <c r="H210" s="231">
        <v>2040</v>
      </c>
      <c r="I210" s="280">
        <v>2050</v>
      </c>
      <c r="J210" s="136">
        <f t="shared" ref="J210:S211" si="134">MATCH(J$209,$C$210:$I$210,$B210)</f>
        <v>1</v>
      </c>
      <c r="K210" s="231">
        <f t="shared" si="134"/>
        <v>1</v>
      </c>
      <c r="L210" s="231">
        <f t="shared" si="134"/>
        <v>1</v>
      </c>
      <c r="M210" s="231">
        <f t="shared" si="134"/>
        <v>2</v>
      </c>
      <c r="N210" s="231">
        <f t="shared" si="134"/>
        <v>2</v>
      </c>
      <c r="O210" s="231">
        <f t="shared" si="134"/>
        <v>3</v>
      </c>
      <c r="P210" s="231">
        <f t="shared" si="134"/>
        <v>3</v>
      </c>
      <c r="Q210" s="231">
        <f t="shared" si="134"/>
        <v>3</v>
      </c>
      <c r="R210" s="231">
        <f t="shared" si="134"/>
        <v>4</v>
      </c>
      <c r="S210" s="231">
        <f t="shared" si="134"/>
        <v>4</v>
      </c>
      <c r="T210" s="231">
        <f t="shared" ref="T210:AC211" si="135">MATCH(T$209,$C$210:$I$210,$B210)</f>
        <v>4</v>
      </c>
      <c r="U210" s="231">
        <f t="shared" si="135"/>
        <v>4</v>
      </c>
      <c r="V210" s="231">
        <f t="shared" si="135"/>
        <v>4</v>
      </c>
      <c r="W210" s="231">
        <f t="shared" si="135"/>
        <v>4</v>
      </c>
      <c r="X210" s="231">
        <f t="shared" si="135"/>
        <v>4</v>
      </c>
      <c r="Y210" s="231">
        <f t="shared" si="135"/>
        <v>4</v>
      </c>
      <c r="Z210" s="231">
        <f t="shared" si="135"/>
        <v>4</v>
      </c>
      <c r="AA210" s="231">
        <f t="shared" si="135"/>
        <v>4</v>
      </c>
      <c r="AB210" s="231">
        <f t="shared" si="135"/>
        <v>5</v>
      </c>
      <c r="AC210" s="231">
        <f t="shared" si="135"/>
        <v>5</v>
      </c>
      <c r="AD210" s="231">
        <f t="shared" ref="AD210:AP211" si="136">MATCH(AD$209,$C$210:$I$210,$B210)</f>
        <v>5</v>
      </c>
      <c r="AE210" s="231">
        <f t="shared" si="136"/>
        <v>5</v>
      </c>
      <c r="AF210" s="231">
        <f t="shared" si="136"/>
        <v>5</v>
      </c>
      <c r="AG210" s="231">
        <f t="shared" si="136"/>
        <v>5</v>
      </c>
      <c r="AH210" s="231">
        <f t="shared" si="136"/>
        <v>5</v>
      </c>
      <c r="AI210" s="231">
        <f t="shared" si="136"/>
        <v>5</v>
      </c>
      <c r="AJ210" s="231">
        <f t="shared" si="136"/>
        <v>5</v>
      </c>
      <c r="AK210" s="231">
        <f t="shared" si="136"/>
        <v>5</v>
      </c>
      <c r="AL210" s="231">
        <f t="shared" si="136"/>
        <v>6</v>
      </c>
      <c r="AM210" s="231">
        <f t="shared" si="136"/>
        <v>6</v>
      </c>
      <c r="AN210" s="231">
        <f t="shared" si="136"/>
        <v>7</v>
      </c>
      <c r="AO210" s="231">
        <f t="shared" si="136"/>
        <v>7</v>
      </c>
      <c r="AP210" s="231">
        <f t="shared" si="136"/>
        <v>7</v>
      </c>
      <c r="BG210" s="136">
        <f>MATCH(BG$209,$C$210:$I$210,$B210)</f>
        <v>1</v>
      </c>
    </row>
    <row r="211" spans="1:60">
      <c r="A211" s="41" t="s">
        <v>16</v>
      </c>
      <c r="B211" s="225">
        <v>0</v>
      </c>
      <c r="C211" s="225">
        <f t="shared" ref="C211:I211" si="137">INDEX($C210:$I210,0,COUNT($C210:$I210)-C212)</f>
        <v>2050</v>
      </c>
      <c r="D211" s="225">
        <f t="shared" si="137"/>
        <v>2040</v>
      </c>
      <c r="E211" s="225">
        <f t="shared" si="137"/>
        <v>2030</v>
      </c>
      <c r="F211" s="225">
        <f t="shared" si="137"/>
        <v>2020</v>
      </c>
      <c r="G211" s="225">
        <f t="shared" si="137"/>
        <v>2017</v>
      </c>
      <c r="H211" s="225">
        <f t="shared" si="137"/>
        <v>2015</v>
      </c>
      <c r="I211" s="143">
        <f t="shared" si="137"/>
        <v>2012</v>
      </c>
      <c r="J211" s="41">
        <f t="shared" si="134"/>
        <v>1</v>
      </c>
      <c r="K211" s="225" t="e">
        <f t="shared" si="134"/>
        <v>#N/A</v>
      </c>
      <c r="L211" s="225" t="e">
        <f t="shared" si="134"/>
        <v>#N/A</v>
      </c>
      <c r="M211" s="225">
        <f t="shared" si="134"/>
        <v>2</v>
      </c>
      <c r="N211" s="225" t="e">
        <f t="shared" si="134"/>
        <v>#N/A</v>
      </c>
      <c r="O211" s="225">
        <f t="shared" si="134"/>
        <v>3</v>
      </c>
      <c r="P211" s="225" t="e">
        <f t="shared" si="134"/>
        <v>#N/A</v>
      </c>
      <c r="Q211" s="225" t="e">
        <f t="shared" si="134"/>
        <v>#N/A</v>
      </c>
      <c r="R211" s="225">
        <f t="shared" si="134"/>
        <v>4</v>
      </c>
      <c r="S211" s="225" t="e">
        <f t="shared" si="134"/>
        <v>#N/A</v>
      </c>
      <c r="T211" s="225" t="e">
        <f t="shared" si="135"/>
        <v>#N/A</v>
      </c>
      <c r="U211" s="225" t="e">
        <f t="shared" si="135"/>
        <v>#N/A</v>
      </c>
      <c r="V211" s="225" t="e">
        <f t="shared" si="135"/>
        <v>#N/A</v>
      </c>
      <c r="W211" s="225" t="e">
        <f t="shared" si="135"/>
        <v>#N/A</v>
      </c>
      <c r="X211" s="225" t="e">
        <f t="shared" si="135"/>
        <v>#N/A</v>
      </c>
      <c r="Y211" s="225" t="e">
        <f t="shared" si="135"/>
        <v>#N/A</v>
      </c>
      <c r="Z211" s="225" t="e">
        <f t="shared" si="135"/>
        <v>#N/A</v>
      </c>
      <c r="AA211" s="225" t="e">
        <f t="shared" si="135"/>
        <v>#N/A</v>
      </c>
      <c r="AB211" s="225">
        <f t="shared" si="135"/>
        <v>5</v>
      </c>
      <c r="AC211" s="225" t="e">
        <f t="shared" si="135"/>
        <v>#N/A</v>
      </c>
      <c r="AD211" s="225" t="e">
        <f t="shared" si="136"/>
        <v>#N/A</v>
      </c>
      <c r="AE211" s="225" t="e">
        <f t="shared" si="136"/>
        <v>#N/A</v>
      </c>
      <c r="AF211" s="225" t="e">
        <f t="shared" si="136"/>
        <v>#N/A</v>
      </c>
      <c r="AG211" s="225" t="e">
        <f t="shared" si="136"/>
        <v>#N/A</v>
      </c>
      <c r="AH211" s="225" t="e">
        <f t="shared" si="136"/>
        <v>#N/A</v>
      </c>
      <c r="AI211" s="225" t="e">
        <f t="shared" si="136"/>
        <v>#N/A</v>
      </c>
      <c r="AJ211" s="225" t="e">
        <f t="shared" si="136"/>
        <v>#N/A</v>
      </c>
      <c r="AK211" s="225" t="e">
        <f t="shared" si="136"/>
        <v>#N/A</v>
      </c>
      <c r="AL211" s="225">
        <f t="shared" si="136"/>
        <v>6</v>
      </c>
      <c r="AM211" s="225" t="e">
        <f t="shared" si="136"/>
        <v>#N/A</v>
      </c>
      <c r="AN211" s="225">
        <f t="shared" si="136"/>
        <v>7</v>
      </c>
      <c r="AO211" s="225" t="e">
        <f t="shared" si="136"/>
        <v>#N/A</v>
      </c>
      <c r="AP211" s="225" t="e">
        <f t="shared" si="136"/>
        <v>#N/A</v>
      </c>
      <c r="BG211" s="41">
        <f>MATCH(BG$209,$C$210:$I$210,$B211)</f>
        <v>1</v>
      </c>
    </row>
    <row r="212" spans="1:60">
      <c r="A212" s="41" t="s">
        <v>16</v>
      </c>
      <c r="B212" s="225">
        <v>-1</v>
      </c>
      <c r="C212" s="225">
        <v>0</v>
      </c>
      <c r="D212" s="225">
        <v>1</v>
      </c>
      <c r="E212" s="228">
        <v>2</v>
      </c>
      <c r="F212" s="225">
        <v>3</v>
      </c>
      <c r="G212" s="225">
        <v>4</v>
      </c>
      <c r="H212" s="225">
        <v>5</v>
      </c>
      <c r="I212" s="225">
        <v>6</v>
      </c>
      <c r="J212" s="225">
        <f t="shared" ref="J212:AP212" si="138">MATCH(J$209,$C$211:$I$211,$B212)</f>
        <v>7</v>
      </c>
      <c r="K212" s="225">
        <f t="shared" si="138"/>
        <v>6</v>
      </c>
      <c r="L212" s="225">
        <f t="shared" si="138"/>
        <v>6</v>
      </c>
      <c r="M212" s="225">
        <f t="shared" si="138"/>
        <v>6</v>
      </c>
      <c r="N212" s="225">
        <f t="shared" si="138"/>
        <v>5</v>
      </c>
      <c r="O212" s="225">
        <f t="shared" si="138"/>
        <v>5</v>
      </c>
      <c r="P212" s="225">
        <f t="shared" si="138"/>
        <v>4</v>
      </c>
      <c r="Q212" s="225">
        <f t="shared" si="138"/>
        <v>4</v>
      </c>
      <c r="R212" s="225">
        <f t="shared" si="138"/>
        <v>4</v>
      </c>
      <c r="S212" s="225">
        <f t="shared" si="138"/>
        <v>3</v>
      </c>
      <c r="T212" s="225">
        <f t="shared" si="138"/>
        <v>3</v>
      </c>
      <c r="U212" s="225">
        <f t="shared" si="138"/>
        <v>3</v>
      </c>
      <c r="V212" s="225">
        <f t="shared" si="138"/>
        <v>3</v>
      </c>
      <c r="W212" s="225">
        <f t="shared" si="138"/>
        <v>3</v>
      </c>
      <c r="X212" s="225">
        <f t="shared" si="138"/>
        <v>3</v>
      </c>
      <c r="Y212" s="225">
        <f t="shared" si="138"/>
        <v>3</v>
      </c>
      <c r="Z212" s="225">
        <f t="shared" si="138"/>
        <v>3</v>
      </c>
      <c r="AA212" s="225">
        <f t="shared" si="138"/>
        <v>3</v>
      </c>
      <c r="AB212" s="225">
        <f t="shared" si="138"/>
        <v>3</v>
      </c>
      <c r="AC212" s="225">
        <f t="shared" si="138"/>
        <v>2</v>
      </c>
      <c r="AD212" s="225">
        <f t="shared" si="138"/>
        <v>2</v>
      </c>
      <c r="AE212" s="225">
        <f t="shared" si="138"/>
        <v>2</v>
      </c>
      <c r="AF212" s="225">
        <f t="shared" si="138"/>
        <v>2</v>
      </c>
      <c r="AG212" s="225">
        <f t="shared" si="138"/>
        <v>2</v>
      </c>
      <c r="AH212" s="225">
        <f t="shared" si="138"/>
        <v>2</v>
      </c>
      <c r="AI212" s="225">
        <f t="shared" si="138"/>
        <v>2</v>
      </c>
      <c r="AJ212" s="225">
        <f t="shared" si="138"/>
        <v>2</v>
      </c>
      <c r="AK212" s="225">
        <f t="shared" si="138"/>
        <v>2</v>
      </c>
      <c r="AL212" s="225">
        <f t="shared" si="138"/>
        <v>2</v>
      </c>
      <c r="AM212" s="225">
        <f t="shared" si="138"/>
        <v>1</v>
      </c>
      <c r="AN212" s="225">
        <f t="shared" si="138"/>
        <v>1</v>
      </c>
      <c r="AO212" s="225" t="e">
        <f t="shared" si="138"/>
        <v>#N/A</v>
      </c>
      <c r="AP212" s="225" t="e">
        <f t="shared" si="138"/>
        <v>#N/A</v>
      </c>
      <c r="BG212" s="225">
        <f>MATCH(BG$209,$C$211:$I$211,$B212)</f>
        <v>7</v>
      </c>
    </row>
    <row r="213" spans="1:60" s="139" customFormat="1">
      <c r="A213" s="138" t="s">
        <v>16</v>
      </c>
      <c r="I213" s="144"/>
      <c r="J213" s="229">
        <f>IF(ISNA(J210),-1,IF(ISNA(J212),99,IF(ISNA(J211),J210,0)))</f>
        <v>0</v>
      </c>
      <c r="K213" s="229">
        <f t="shared" ref="K213:AP213" si="139">IF(ISNA(K210),-1,IF(ISNA(K212),99,IF(ISNA(K211),K210,0)))</f>
        <v>1</v>
      </c>
      <c r="L213" s="229">
        <f t="shared" si="139"/>
        <v>1</v>
      </c>
      <c r="M213" s="229">
        <f t="shared" si="139"/>
        <v>0</v>
      </c>
      <c r="N213" s="229">
        <f t="shared" si="139"/>
        <v>2</v>
      </c>
      <c r="O213" s="229">
        <f t="shared" si="139"/>
        <v>0</v>
      </c>
      <c r="P213" s="229">
        <f t="shared" si="139"/>
        <v>3</v>
      </c>
      <c r="Q213" s="229">
        <f t="shared" si="139"/>
        <v>3</v>
      </c>
      <c r="R213" s="229">
        <f t="shared" si="139"/>
        <v>0</v>
      </c>
      <c r="S213" s="229">
        <f t="shared" si="139"/>
        <v>4</v>
      </c>
      <c r="T213" s="229">
        <f t="shared" si="139"/>
        <v>4</v>
      </c>
      <c r="U213" s="229">
        <f t="shared" si="139"/>
        <v>4</v>
      </c>
      <c r="V213" s="229">
        <f t="shared" si="139"/>
        <v>4</v>
      </c>
      <c r="W213" s="229">
        <f t="shared" si="139"/>
        <v>4</v>
      </c>
      <c r="X213" s="229">
        <f t="shared" si="139"/>
        <v>4</v>
      </c>
      <c r="Y213" s="229">
        <f t="shared" si="139"/>
        <v>4</v>
      </c>
      <c r="Z213" s="229">
        <f t="shared" si="139"/>
        <v>4</v>
      </c>
      <c r="AA213" s="229">
        <f t="shared" si="139"/>
        <v>4</v>
      </c>
      <c r="AB213" s="229">
        <f t="shared" si="139"/>
        <v>0</v>
      </c>
      <c r="AC213" s="229">
        <f t="shared" si="139"/>
        <v>5</v>
      </c>
      <c r="AD213" s="229">
        <f t="shared" si="139"/>
        <v>5</v>
      </c>
      <c r="AE213" s="229">
        <f t="shared" si="139"/>
        <v>5</v>
      </c>
      <c r="AF213" s="229">
        <f t="shared" si="139"/>
        <v>5</v>
      </c>
      <c r="AG213" s="229">
        <f t="shared" si="139"/>
        <v>5</v>
      </c>
      <c r="AH213" s="229">
        <f t="shared" si="139"/>
        <v>5</v>
      </c>
      <c r="AI213" s="229">
        <f t="shared" si="139"/>
        <v>5</v>
      </c>
      <c r="AJ213" s="229">
        <f t="shared" si="139"/>
        <v>5</v>
      </c>
      <c r="AK213" s="229">
        <f t="shared" si="139"/>
        <v>5</v>
      </c>
      <c r="AL213" s="229">
        <f t="shared" si="139"/>
        <v>0</v>
      </c>
      <c r="AM213" s="229">
        <f t="shared" si="139"/>
        <v>6</v>
      </c>
      <c r="AN213" s="229">
        <f t="shared" si="139"/>
        <v>0</v>
      </c>
      <c r="AO213" s="229">
        <f t="shared" si="139"/>
        <v>99</v>
      </c>
      <c r="AP213" s="229">
        <f t="shared" si="139"/>
        <v>99</v>
      </c>
      <c r="AR213" s="229"/>
      <c r="AS213" s="229"/>
      <c r="AV213" s="229"/>
      <c r="AW213" s="229"/>
      <c r="BG213" s="229">
        <f>IF(ISNA(BG210),-1,IF(ISNA(BG212),99,IF(ISNA(BG211),BG210,0)))</f>
        <v>0</v>
      </c>
      <c r="BH213" s="229"/>
    </row>
    <row r="214" spans="1:60">
      <c r="B214" s="22" t="str">
        <f t="shared" ref="B214:B221" si="140">IF(A214="*","","COM_PROJ")</f>
        <v>COM_PROJ</v>
      </c>
      <c r="C214" s="23" t="str">
        <f t="shared" ref="C214:C221" si="141">IF($A214="*","","-")</f>
        <v>-</v>
      </c>
      <c r="D214" s="61" t="str">
        <f t="shared" ref="D214:D221" si="142">B186</f>
        <v>TPPRCAR</v>
      </c>
      <c r="E214" s="23" t="str">
        <f t="shared" ref="E214:H221" si="143">IF($A214="*","","-")</f>
        <v>-</v>
      </c>
      <c r="F214" s="23" t="str">
        <f t="shared" si="143"/>
        <v>-</v>
      </c>
      <c r="G214" s="23" t="str">
        <f t="shared" si="143"/>
        <v>-</v>
      </c>
      <c r="H214" s="23" t="str">
        <f t="shared" si="143"/>
        <v>-</v>
      </c>
      <c r="I214" s="22">
        <f t="shared" ref="I214:I221" si="144">IF(A214="*","",0)</f>
        <v>0</v>
      </c>
      <c r="J214" s="226">
        <f t="shared" ref="J214:K216" si="145">IF(J$213=-1,K214,IF(J$213=99,BF214,IF(J$213=0,INDEX($E186:$K186,0,J$211),(INDEX($E186:$K186,0,J$213+1)-INDEX($E186:$K186,0,J$213))/(INDEX($E$185:$K$185,0,J$213+1)-INDEX($E$185:$K$185,0,J$213))+BF214)))</f>
        <v>83.445737773819317</v>
      </c>
      <c r="K214" s="226">
        <f t="shared" si="145"/>
        <v>85.54172511414879</v>
      </c>
      <c r="L214" s="226">
        <f t="shared" ref="L214:AL214" si="146">IF(L$213=-1,M214,IF(L$213=99,K214,IF(L$213=0,INDEX($E186:$K186,0,L$211),(INDEX($E186:$K186,0,L$213+1)-INDEX($E186:$K186,0,L$213))/(INDEX($E$185:$K$185,0,L$213+1)-INDEX($E$185:$K$185,0,L$213))+K214)))</f>
        <v>87.637712454478262</v>
      </c>
      <c r="M214" s="226">
        <f t="shared" si="146"/>
        <v>89.733699794807748</v>
      </c>
      <c r="N214" s="226">
        <f t="shared" si="146"/>
        <v>91.34378277811355</v>
      </c>
      <c r="O214" s="226">
        <f t="shared" si="146"/>
        <v>92.953865761419351</v>
      </c>
      <c r="P214" s="226">
        <f t="shared" si="146"/>
        <v>92.993219954019722</v>
      </c>
      <c r="Q214" s="226">
        <f t="shared" si="146"/>
        <v>93.032574146620092</v>
      </c>
      <c r="R214" s="226">
        <f t="shared" si="146"/>
        <v>93.071928339220463</v>
      </c>
      <c r="S214" s="226">
        <f t="shared" si="146"/>
        <v>95.674160250331909</v>
      </c>
      <c r="T214" s="226">
        <f t="shared" si="146"/>
        <v>98.276392161443354</v>
      </c>
      <c r="U214" s="226">
        <f t="shared" si="146"/>
        <v>100.8786240725548</v>
      </c>
      <c r="V214" s="226">
        <f t="shared" si="146"/>
        <v>103.48085598366625</v>
      </c>
      <c r="W214" s="226">
        <f t="shared" si="146"/>
        <v>106.08308789477769</v>
      </c>
      <c r="X214" s="226">
        <f t="shared" si="146"/>
        <v>108.68531980588914</v>
      </c>
      <c r="Y214" s="226">
        <f t="shared" si="146"/>
        <v>111.28755171700058</v>
      </c>
      <c r="Z214" s="226">
        <f t="shared" si="146"/>
        <v>113.88978362811203</v>
      </c>
      <c r="AA214" s="226">
        <f t="shared" si="146"/>
        <v>116.49201553922347</v>
      </c>
      <c r="AB214" s="226">
        <f t="shared" si="146"/>
        <v>119.09424745033492</v>
      </c>
      <c r="AC214" s="226">
        <f t="shared" si="146"/>
        <v>123.09406375249645</v>
      </c>
      <c r="AD214" s="226">
        <f t="shared" si="146"/>
        <v>127.093880054658</v>
      </c>
      <c r="AE214" s="226">
        <f t="shared" si="146"/>
        <v>131.09369635681955</v>
      </c>
      <c r="AF214" s="226">
        <f t="shared" si="146"/>
        <v>135.0935126589811</v>
      </c>
      <c r="AG214" s="226">
        <f t="shared" si="146"/>
        <v>139.09332896114265</v>
      </c>
      <c r="AH214" s="226">
        <f t="shared" si="146"/>
        <v>143.09314526330419</v>
      </c>
      <c r="AI214" s="226">
        <f t="shared" si="146"/>
        <v>147.09296156546574</v>
      </c>
      <c r="AJ214" s="226">
        <f t="shared" si="146"/>
        <v>151.09277786762729</v>
      </c>
      <c r="AK214" s="226">
        <f t="shared" si="146"/>
        <v>155.09259416978884</v>
      </c>
      <c r="AL214" s="226">
        <f t="shared" si="146"/>
        <v>159.09241047195033</v>
      </c>
      <c r="AM214" s="256">
        <f>(AL214+AN214)/2</f>
        <v>183.51622786685559</v>
      </c>
      <c r="AN214" s="226">
        <f t="shared" ref="AN214:AO221" si="147">IF(AN$213=-1,AO214,IF(AN$213=99,AM214,IF(AN$213=0,INDEX($E186:$K186,0,AN$211),(INDEX($E186:$K186,0,AN$213+1)-INDEX($E186:$K186,0,AN$213))/(INDEX($E$185:$K$185,0,AN$213+1)-INDEX($E$185:$K$185,0,AN$213))+AM214)))</f>
        <v>207.94004526176084</v>
      </c>
      <c r="AO214" s="226">
        <f t="shared" si="147"/>
        <v>207.94004526176084</v>
      </c>
      <c r="AP214" s="226">
        <f t="shared" ref="AP214:AP221" si="148">IF(AP$213=-1,AR214,IF(AP$213=99,AO214,IF(AP$213=0,INDEX($E186:$K186,0,AP$211),(INDEX($E186:$K186,0,AP$213+1)-INDEX($E186:$K186,0,AP$213))/(INDEX($E$185:$K$185,0,AP$213+1)-INDEX($E$185:$K$185,0,AP$213))+AO214)))</f>
        <v>207.94004526176084</v>
      </c>
      <c r="AR214" s="226"/>
      <c r="AS214" s="226"/>
      <c r="AV214" s="226"/>
      <c r="AW214" s="226"/>
      <c r="BG214" s="226">
        <f t="shared" ref="BG214:BG221" si="149">E186</f>
        <v>83.445737773819317</v>
      </c>
      <c r="BH214" s="130">
        <f t="shared" ref="BH214:BH221" si="150">(J214-BG214)/J214</f>
        <v>0</v>
      </c>
    </row>
    <row r="215" spans="1:60">
      <c r="B215" s="22" t="str">
        <f t="shared" si="140"/>
        <v>COM_PROJ</v>
      </c>
      <c r="C215" s="23" t="str">
        <f t="shared" si="141"/>
        <v>-</v>
      </c>
      <c r="D215" s="61" t="str">
        <f t="shared" si="142"/>
        <v>TPPRSUV</v>
      </c>
      <c r="E215" s="23" t="str">
        <f t="shared" si="143"/>
        <v>-</v>
      </c>
      <c r="F215" s="23" t="str">
        <f t="shared" si="143"/>
        <v>-</v>
      </c>
      <c r="G215" s="23" t="str">
        <f t="shared" si="143"/>
        <v>-</v>
      </c>
      <c r="H215" s="23" t="str">
        <f t="shared" si="143"/>
        <v>-</v>
      </c>
      <c r="I215" s="22">
        <f t="shared" si="144"/>
        <v>0</v>
      </c>
      <c r="J215" s="226">
        <f t="shared" si="145"/>
        <v>9.5813624270132962</v>
      </c>
      <c r="K215" s="226">
        <f t="shared" si="145"/>
        <v>9.822026778313802</v>
      </c>
      <c r="L215" s="226">
        <f t="shared" ref="L215:AL215" si="151">IF(L$213=-1,M215,IF(L$213=99,K215,IF(L$213=0,INDEX($E187:$K187,0,L$211),(INDEX($E187:$K187,0,L$213+1)-INDEX($E187:$K187,0,L$213))/(INDEX($E$185:$K$185,0,L$213+1)-INDEX($E$185:$K$185,0,L$213))+K215)))</f>
        <v>10.062691129614308</v>
      </c>
      <c r="M215" s="226">
        <f t="shared" si="151"/>
        <v>10.303355480914815</v>
      </c>
      <c r="N215" s="226">
        <f t="shared" si="151"/>
        <v>10.48822757878558</v>
      </c>
      <c r="O215" s="226">
        <f t="shared" si="151"/>
        <v>10.673099676656344</v>
      </c>
      <c r="P215" s="226">
        <f t="shared" si="151"/>
        <v>10.64133011902536</v>
      </c>
      <c r="Q215" s="226">
        <f t="shared" si="151"/>
        <v>10.609560561394376</v>
      </c>
      <c r="R215" s="226">
        <f t="shared" si="151"/>
        <v>10.577791003763391</v>
      </c>
      <c r="S215" s="226">
        <f t="shared" si="151"/>
        <v>10.873539311445775</v>
      </c>
      <c r="T215" s="226">
        <f t="shared" si="151"/>
        <v>11.169287619128159</v>
      </c>
      <c r="U215" s="226">
        <f t="shared" si="151"/>
        <v>11.465035926810543</v>
      </c>
      <c r="V215" s="226">
        <f t="shared" si="151"/>
        <v>11.760784234492927</v>
      </c>
      <c r="W215" s="226">
        <f t="shared" si="151"/>
        <v>12.056532542175312</v>
      </c>
      <c r="X215" s="226">
        <f t="shared" si="151"/>
        <v>12.352280849857696</v>
      </c>
      <c r="Y215" s="226">
        <f t="shared" si="151"/>
        <v>12.64802915754008</v>
      </c>
      <c r="Z215" s="226">
        <f t="shared" si="151"/>
        <v>12.943777465222464</v>
      </c>
      <c r="AA215" s="226">
        <f t="shared" si="151"/>
        <v>13.239525772904848</v>
      </c>
      <c r="AB215" s="226">
        <f t="shared" si="151"/>
        <v>13.535274080587239</v>
      </c>
      <c r="AC215" s="226">
        <f t="shared" si="151"/>
        <v>13.989860352223362</v>
      </c>
      <c r="AD215" s="226">
        <f t="shared" si="151"/>
        <v>14.444446623859484</v>
      </c>
      <c r="AE215" s="226">
        <f t="shared" si="151"/>
        <v>14.899032895495607</v>
      </c>
      <c r="AF215" s="226">
        <f t="shared" si="151"/>
        <v>15.353619167131729</v>
      </c>
      <c r="AG215" s="226">
        <f t="shared" si="151"/>
        <v>15.808205438767851</v>
      </c>
      <c r="AH215" s="226">
        <f t="shared" si="151"/>
        <v>16.262791710403974</v>
      </c>
      <c r="AI215" s="226">
        <f t="shared" si="151"/>
        <v>16.717377982040095</v>
      </c>
      <c r="AJ215" s="226">
        <f t="shared" si="151"/>
        <v>17.171964253676215</v>
      </c>
      <c r="AK215" s="226">
        <f t="shared" si="151"/>
        <v>17.626550525312336</v>
      </c>
      <c r="AL215" s="226">
        <f t="shared" si="151"/>
        <v>18.081136796948456</v>
      </c>
      <c r="AM215" s="256">
        <f t="shared" ref="AM215:AM221" si="152">(AL215+AN215)/2</f>
        <v>20.856947296713507</v>
      </c>
      <c r="AN215" s="226">
        <f t="shared" si="147"/>
        <v>23.632757796478558</v>
      </c>
      <c r="AO215" s="226">
        <f t="shared" si="147"/>
        <v>23.632757796478558</v>
      </c>
      <c r="AP215" s="226">
        <f t="shared" si="148"/>
        <v>23.632757796478558</v>
      </c>
      <c r="AR215" s="226"/>
      <c r="AS215" s="226"/>
      <c r="AV215" s="226"/>
      <c r="AW215" s="226"/>
      <c r="BG215" s="226">
        <f t="shared" si="149"/>
        <v>9.5813624270132962</v>
      </c>
      <c r="BH215" s="130">
        <f t="shared" si="150"/>
        <v>0</v>
      </c>
    </row>
    <row r="216" spans="1:60">
      <c r="B216" s="22" t="str">
        <f t="shared" si="140"/>
        <v>COM_PROJ</v>
      </c>
      <c r="C216" s="23" t="str">
        <f t="shared" si="141"/>
        <v>-</v>
      </c>
      <c r="D216" s="61" t="str">
        <f t="shared" si="142"/>
        <v>TPPRMOT</v>
      </c>
      <c r="E216" s="23" t="str">
        <f t="shared" si="143"/>
        <v>-</v>
      </c>
      <c r="F216" s="23" t="str">
        <f t="shared" si="143"/>
        <v>-</v>
      </c>
      <c r="G216" s="23" t="str">
        <f t="shared" si="143"/>
        <v>-</v>
      </c>
      <c r="H216" s="23" t="str">
        <f t="shared" si="143"/>
        <v>-</v>
      </c>
      <c r="I216" s="22">
        <f t="shared" si="144"/>
        <v>0</v>
      </c>
      <c r="J216" s="226">
        <f t="shared" si="145"/>
        <v>3.2661400787071582</v>
      </c>
      <c r="K216" s="226">
        <f t="shared" si="145"/>
        <v>3.0403376504443838</v>
      </c>
      <c r="L216" s="226">
        <f t="shared" ref="L216:AL216" si="153">IF(L$213=-1,M216,IF(L$213=99,K216,IF(L$213=0,INDEX($E188:$K188,0,L$211),(INDEX($E188:$K188,0,L$213+1)-INDEX($E188:$K188,0,L$213))/(INDEX($E$185:$K$185,0,L$213+1)-INDEX($E$185:$K$185,0,L$213))+K216)))</f>
        <v>2.8145352221816093</v>
      </c>
      <c r="M216" s="226">
        <f t="shared" si="153"/>
        <v>2.5887327939188354</v>
      </c>
      <c r="N216" s="226">
        <f t="shared" si="153"/>
        <v>2.6351821727959512</v>
      </c>
      <c r="O216" s="226">
        <f t="shared" si="153"/>
        <v>2.6816315516730675</v>
      </c>
      <c r="P216" s="226">
        <f t="shared" si="153"/>
        <v>2.6736494049015653</v>
      </c>
      <c r="Q216" s="226">
        <f t="shared" si="153"/>
        <v>2.6656672581300631</v>
      </c>
      <c r="R216" s="226">
        <f t="shared" si="153"/>
        <v>2.6576851113585604</v>
      </c>
      <c r="S216" s="226">
        <f t="shared" si="153"/>
        <v>2.7319922964558381</v>
      </c>
      <c r="T216" s="226">
        <f t="shared" si="153"/>
        <v>2.8062994815531157</v>
      </c>
      <c r="U216" s="226">
        <f t="shared" si="153"/>
        <v>2.8806066666503933</v>
      </c>
      <c r="V216" s="226">
        <f t="shared" si="153"/>
        <v>2.954913851747671</v>
      </c>
      <c r="W216" s="226">
        <f t="shared" si="153"/>
        <v>3.0292210368449486</v>
      </c>
      <c r="X216" s="226">
        <f t="shared" si="153"/>
        <v>3.1035282219422262</v>
      </c>
      <c r="Y216" s="226">
        <f t="shared" si="153"/>
        <v>3.1778354070395038</v>
      </c>
      <c r="Z216" s="226">
        <f t="shared" si="153"/>
        <v>3.2521425921367815</v>
      </c>
      <c r="AA216" s="226">
        <f t="shared" si="153"/>
        <v>3.3264497772340591</v>
      </c>
      <c r="AB216" s="226">
        <f t="shared" si="153"/>
        <v>3.4007569623313376</v>
      </c>
      <c r="AC216" s="226">
        <f t="shared" si="153"/>
        <v>3.5149724129415341</v>
      </c>
      <c r="AD216" s="226">
        <f t="shared" si="153"/>
        <v>3.6291878635517305</v>
      </c>
      <c r="AE216" s="226">
        <f t="shared" si="153"/>
        <v>3.743403314161927</v>
      </c>
      <c r="AF216" s="226">
        <f t="shared" si="153"/>
        <v>3.8576187647721234</v>
      </c>
      <c r="AG216" s="226">
        <f t="shared" si="153"/>
        <v>3.9718342153823198</v>
      </c>
      <c r="AH216" s="226">
        <f t="shared" si="153"/>
        <v>4.0860496659925163</v>
      </c>
      <c r="AI216" s="226">
        <f t="shared" si="153"/>
        <v>4.2002651166027132</v>
      </c>
      <c r="AJ216" s="226">
        <f t="shared" si="153"/>
        <v>4.3144805672129092</v>
      </c>
      <c r="AK216" s="226">
        <f t="shared" si="153"/>
        <v>4.4286960178231052</v>
      </c>
      <c r="AL216" s="226">
        <f t="shared" si="153"/>
        <v>4.5429114684333021</v>
      </c>
      <c r="AM216" s="256">
        <f t="shared" si="152"/>
        <v>5.2403378247069003</v>
      </c>
      <c r="AN216" s="226">
        <f t="shared" si="147"/>
        <v>5.9377641809804977</v>
      </c>
      <c r="AO216" s="226">
        <f t="shared" si="147"/>
        <v>5.9377641809804977</v>
      </c>
      <c r="AP216" s="226">
        <f t="shared" si="148"/>
        <v>5.9377641809804977</v>
      </c>
      <c r="AR216" s="226"/>
      <c r="AS216" s="226"/>
      <c r="AV216" s="226"/>
      <c r="AW216" s="226"/>
      <c r="BG216" s="226">
        <f t="shared" si="149"/>
        <v>3.2661400787071582</v>
      </c>
      <c r="BH216" s="130">
        <f t="shared" si="150"/>
        <v>0</v>
      </c>
    </row>
    <row r="217" spans="1:60">
      <c r="B217" s="22" t="str">
        <f t="shared" si="140"/>
        <v>COM_PROJ</v>
      </c>
      <c r="C217" s="23" t="str">
        <f t="shared" si="141"/>
        <v>-</v>
      </c>
      <c r="D217" s="61" t="str">
        <f t="shared" si="142"/>
        <v>TPPUBUS</v>
      </c>
      <c r="E217" s="23" t="str">
        <f t="shared" si="143"/>
        <v>-</v>
      </c>
      <c r="F217" s="23" t="str">
        <f t="shared" si="143"/>
        <v>-</v>
      </c>
      <c r="G217" s="23" t="str">
        <f t="shared" si="143"/>
        <v>-</v>
      </c>
      <c r="H217" s="23" t="str">
        <f t="shared" si="143"/>
        <v>-</v>
      </c>
      <c r="I217" s="22">
        <f t="shared" si="144"/>
        <v>0</v>
      </c>
      <c r="J217" s="226">
        <f>INDEX('[3]TS BYDem'!J$10:J$59,MATCH($D217,'[3]TS BYDem'!D$10:D$59,0))</f>
        <v>0.61799148971759088</v>
      </c>
      <c r="K217" s="226">
        <f>IF(K$213=-1,L217,IF(K$213=99,BG217,IF(K$213=0,INDEX($E189:$K189,0,K$211),(INDEX($E189:$K189,0,K$213+1)-INDEX($E189:$K189,0,K$213))/(INDEX($E$185:$K$185,0,K$213+1)-INDEX($E$185:$K$185,0,K$213))+BG217)))</f>
        <v>0.6286609931450593</v>
      </c>
      <c r="L217" s="226">
        <f t="shared" ref="L217:AL217" si="154">IF(L$213=-1,M217,IF(L$213=99,K217,IF(L$213=0,INDEX($E189:$K189,0,L$211),(INDEX($E189:$K189,0,L$213+1)-INDEX($E189:$K189,0,L$213))/(INDEX($E$185:$K$185,0,L$213+1)-INDEX($E$185:$K$185,0,L$213))+K217)))</f>
        <v>0.63933049657252961</v>
      </c>
      <c r="M217" s="226">
        <f t="shared" si="154"/>
        <v>0.65</v>
      </c>
      <c r="N217" s="226">
        <f t="shared" si="154"/>
        <v>0.66077214814486951</v>
      </c>
      <c r="O217" s="226">
        <f t="shared" si="154"/>
        <v>0.671544296289739</v>
      </c>
      <c r="P217" s="226">
        <f t="shared" si="154"/>
        <v>0.68036025459511962</v>
      </c>
      <c r="Q217" s="226">
        <f t="shared" si="154"/>
        <v>0.68917621290050024</v>
      </c>
      <c r="R217" s="226">
        <f t="shared" si="154"/>
        <v>0.69799217120588097</v>
      </c>
      <c r="S217" s="226">
        <f t="shared" si="154"/>
        <v>0.71745599491401779</v>
      </c>
      <c r="T217" s="226">
        <f t="shared" si="154"/>
        <v>0.73691981862215461</v>
      </c>
      <c r="U217" s="226">
        <f t="shared" si="154"/>
        <v>0.75638364233029143</v>
      </c>
      <c r="V217" s="226">
        <f t="shared" si="154"/>
        <v>0.77584746603842825</v>
      </c>
      <c r="W217" s="226">
        <f t="shared" si="154"/>
        <v>0.79531128974656506</v>
      </c>
      <c r="X217" s="226">
        <f t="shared" si="154"/>
        <v>0.81477511345470188</v>
      </c>
      <c r="Y217" s="226">
        <f t="shared" si="154"/>
        <v>0.8342389371628387</v>
      </c>
      <c r="Z217" s="226">
        <f t="shared" si="154"/>
        <v>0.85370276087097552</v>
      </c>
      <c r="AA217" s="226">
        <f t="shared" si="154"/>
        <v>0.87316658457911234</v>
      </c>
      <c r="AB217" s="226">
        <f t="shared" si="154"/>
        <v>0.89263040828724971</v>
      </c>
      <c r="AC217" s="226">
        <f t="shared" si="154"/>
        <v>0.87698743620148201</v>
      </c>
      <c r="AD217" s="226">
        <f t="shared" si="154"/>
        <v>0.8613444641157143</v>
      </c>
      <c r="AE217" s="226">
        <f t="shared" si="154"/>
        <v>0.8457014920299466</v>
      </c>
      <c r="AF217" s="226">
        <f t="shared" si="154"/>
        <v>0.8300585199441789</v>
      </c>
      <c r="AG217" s="226">
        <f t="shared" si="154"/>
        <v>0.81441554785841119</v>
      </c>
      <c r="AH217" s="226">
        <f t="shared" si="154"/>
        <v>0.79877257577264349</v>
      </c>
      <c r="AI217" s="226">
        <f t="shared" si="154"/>
        <v>0.78312960368687579</v>
      </c>
      <c r="AJ217" s="226">
        <f t="shared" si="154"/>
        <v>0.76748663160110808</v>
      </c>
      <c r="AK217" s="226">
        <f t="shared" si="154"/>
        <v>0.75184365951534038</v>
      </c>
      <c r="AL217" s="226">
        <f t="shared" si="154"/>
        <v>0.73620068742957312</v>
      </c>
      <c r="AM217" s="256">
        <f t="shared" si="152"/>
        <v>0.62399735286919245</v>
      </c>
      <c r="AN217" s="226">
        <f t="shared" si="147"/>
        <v>0.51179401830881177</v>
      </c>
      <c r="AO217" s="226">
        <f t="shared" si="147"/>
        <v>0.51179401830881177</v>
      </c>
      <c r="AP217" s="226">
        <f t="shared" si="148"/>
        <v>0.51179401830881177</v>
      </c>
      <c r="AR217" s="226"/>
      <c r="AS217" s="226"/>
      <c r="AV217" s="226"/>
      <c r="AW217" s="226"/>
      <c r="BG217" s="226">
        <f t="shared" si="149"/>
        <v>0.61799148971758899</v>
      </c>
      <c r="BH217" s="130">
        <f t="shared" si="150"/>
        <v>3.0540536128179675E-15</v>
      </c>
    </row>
    <row r="218" spans="1:60">
      <c r="B218" s="22" t="str">
        <f t="shared" si="140"/>
        <v>COM_PROJ</v>
      </c>
      <c r="C218" s="23" t="str">
        <f t="shared" si="141"/>
        <v>-</v>
      </c>
      <c r="D218" s="61" t="str">
        <f t="shared" si="142"/>
        <v>TPPUMBT</v>
      </c>
      <c r="E218" s="23" t="str">
        <f t="shared" si="143"/>
        <v>-</v>
      </c>
      <c r="F218" s="23" t="str">
        <f t="shared" si="143"/>
        <v>-</v>
      </c>
      <c r="G218" s="23" t="str">
        <f t="shared" si="143"/>
        <v>-</v>
      </c>
      <c r="H218" s="23" t="str">
        <f t="shared" si="143"/>
        <v>-</v>
      </c>
      <c r="I218" s="22">
        <f t="shared" si="144"/>
        <v>0</v>
      </c>
      <c r="J218" s="226">
        <f>INDEX('[3]TS BYDem'!J$10:J$59,MATCH($D218,'[3]TS BYDem'!D$10:D$59,0))</f>
        <v>6.4978638621089795</v>
      </c>
      <c r="K218" s="226">
        <f>IF(K$213=-1,L218,IF(K$213=99,BG218,IF(K$213=0,INDEX($E190:$K190,0,K$211),(INDEX($E190:$K190,0,K$213+1)-INDEX($E190:$K190,0,K$213))/(INDEX($E$185:$K$185,0,K$213+1)-INDEX($E$185:$K$185,0,K$213))+BG218)))</f>
        <v>7.0000470045650571</v>
      </c>
      <c r="L218" s="226">
        <f t="shared" ref="L218:AL218" si="155">IF(L$213=-1,M218,IF(L$213=99,K218,IF(L$213=0,INDEX($E190:$K190,0,L$211),(INDEX($E190:$K190,0,L$213+1)-INDEX($E190:$K190,0,L$213))/(INDEX($E$185:$K$185,0,L$213+1)-INDEX($E$185:$K$185,0,L$213))+K218)))</f>
        <v>6.9500235022825292</v>
      </c>
      <c r="M218" s="226">
        <f t="shared" si="155"/>
        <v>6.9</v>
      </c>
      <c r="N218" s="226">
        <f t="shared" si="155"/>
        <v>7.0212765000000008</v>
      </c>
      <c r="O218" s="226">
        <f t="shared" si="155"/>
        <v>7.1425530000000004</v>
      </c>
      <c r="P218" s="226">
        <f t="shared" si="155"/>
        <v>7.2080453454864593</v>
      </c>
      <c r="Q218" s="226">
        <f t="shared" si="155"/>
        <v>7.2735376909729181</v>
      </c>
      <c r="R218" s="226">
        <f t="shared" si="155"/>
        <v>7.339030036459377</v>
      </c>
      <c r="S218" s="226">
        <f t="shared" si="155"/>
        <v>7.3434819444748127</v>
      </c>
      <c r="T218" s="226">
        <f t="shared" si="155"/>
        <v>7.3479338524902484</v>
      </c>
      <c r="U218" s="226">
        <f t="shared" si="155"/>
        <v>7.3523857605056842</v>
      </c>
      <c r="V218" s="226">
        <f t="shared" si="155"/>
        <v>7.3568376685211199</v>
      </c>
      <c r="W218" s="226">
        <f t="shared" si="155"/>
        <v>7.3612895765365556</v>
      </c>
      <c r="X218" s="226">
        <f t="shared" si="155"/>
        <v>7.3657414845519913</v>
      </c>
      <c r="Y218" s="226">
        <f t="shared" si="155"/>
        <v>7.370193392567427</v>
      </c>
      <c r="Z218" s="226">
        <f t="shared" si="155"/>
        <v>7.3746453005828627</v>
      </c>
      <c r="AA218" s="226">
        <f t="shared" si="155"/>
        <v>7.3790972085982984</v>
      </c>
      <c r="AB218" s="226">
        <f t="shared" si="155"/>
        <v>7.3835491166137359</v>
      </c>
      <c r="AC218" s="226">
        <f t="shared" si="155"/>
        <v>7.3407264382160182</v>
      </c>
      <c r="AD218" s="226">
        <f t="shared" si="155"/>
        <v>7.2979037598183005</v>
      </c>
      <c r="AE218" s="226">
        <f t="shared" si="155"/>
        <v>7.2550810814205828</v>
      </c>
      <c r="AF218" s="226">
        <f t="shared" si="155"/>
        <v>7.2122584030228651</v>
      </c>
      <c r="AG218" s="226">
        <f t="shared" si="155"/>
        <v>7.1694357246251474</v>
      </c>
      <c r="AH218" s="226">
        <f t="shared" si="155"/>
        <v>7.1266130462274297</v>
      </c>
      <c r="AI218" s="226">
        <f t="shared" si="155"/>
        <v>7.0837903678297121</v>
      </c>
      <c r="AJ218" s="226">
        <f t="shared" si="155"/>
        <v>7.0409676894319944</v>
      </c>
      <c r="AK218" s="226">
        <f t="shared" si="155"/>
        <v>6.9981450110342767</v>
      </c>
      <c r="AL218" s="226">
        <f t="shared" si="155"/>
        <v>6.9553223326365616</v>
      </c>
      <c r="AM218" s="256">
        <f t="shared" si="152"/>
        <v>6.6959181622928794</v>
      </c>
      <c r="AN218" s="226">
        <f t="shared" si="147"/>
        <v>6.4365139919491972</v>
      </c>
      <c r="AO218" s="226">
        <f t="shared" si="147"/>
        <v>6.4365139919491972</v>
      </c>
      <c r="AP218" s="226">
        <f t="shared" si="148"/>
        <v>6.4365139919491972</v>
      </c>
      <c r="AR218" s="226"/>
      <c r="AS218" s="226"/>
      <c r="AV218" s="226"/>
      <c r="AW218" s="226"/>
      <c r="BG218" s="226">
        <f t="shared" si="149"/>
        <v>7.0500705068475851</v>
      </c>
      <c r="BH218" s="130">
        <f t="shared" si="150"/>
        <v>-8.4982796878631223E-2</v>
      </c>
    </row>
    <row r="219" spans="1:60">
      <c r="B219" s="22" t="str">
        <f t="shared" si="140"/>
        <v>COM_PROJ</v>
      </c>
      <c r="C219" s="23" t="str">
        <f t="shared" si="141"/>
        <v>-</v>
      </c>
      <c r="D219" s="61" t="str">
        <f t="shared" si="142"/>
        <v>TPPUBRT</v>
      </c>
      <c r="E219" s="23" t="str">
        <f t="shared" si="143"/>
        <v>-</v>
      </c>
      <c r="F219" s="23" t="str">
        <f t="shared" si="143"/>
        <v>-</v>
      </c>
      <c r="G219" s="23" t="str">
        <f t="shared" si="143"/>
        <v>-</v>
      </c>
      <c r="H219" s="23" t="str">
        <f t="shared" si="143"/>
        <v>-</v>
      </c>
      <c r="I219" s="22">
        <f t="shared" si="144"/>
        <v>0</v>
      </c>
      <c r="J219" s="226">
        <f>INDEX('[3]TS BYDem'!J$10:J$59,MATCH($D219,'[3]TS BYDem'!D$10:D$59,0))</f>
        <v>0</v>
      </c>
      <c r="K219" s="226">
        <f>IF(K$213=-1,L219,IF(K$213=99,BG219,IF(K$213=0,INDEX($E191:$K191,0,K$211),(INDEX($E191:$K191,0,K$213+1)-INDEX($E191:$K191,0,K$213))/(INDEX($E$185:$K$185,0,K$213+1)-INDEX($E$185:$K$185,0,K$213))+BG219)))</f>
        <v>2.1414716495416288E-2</v>
      </c>
      <c r="L219" s="226">
        <f t="shared" ref="L219:AL219" si="156">IF(L$213=-1,M219,IF(L$213=99,K219,IF(L$213=0,INDEX($E191:$K191,0,L$211),(INDEX($E191:$K191,0,L$213+1)-INDEX($E191:$K191,0,L$213))/(INDEX($E$185:$K$185,0,L$213+1)-INDEX($E$185:$K$185,0,L$213))+K219)))</f>
        <v>2.17754946495833E-2</v>
      </c>
      <c r="M219" s="226">
        <f t="shared" si="156"/>
        <v>2.2136272803750311E-2</v>
      </c>
      <c r="N219" s="226">
        <f t="shared" si="156"/>
        <v>2.2524463787851348E-2</v>
      </c>
      <c r="O219" s="226">
        <f t="shared" si="156"/>
        <v>2.2912654771952382E-2</v>
      </c>
      <c r="P219" s="226">
        <f t="shared" si="156"/>
        <v>8.8277970481301565E-2</v>
      </c>
      <c r="Q219" s="226">
        <f t="shared" si="156"/>
        <v>0.15364328619065076</v>
      </c>
      <c r="R219" s="226">
        <f t="shared" si="156"/>
        <v>0.21900860189999996</v>
      </c>
      <c r="S219" s="226">
        <f t="shared" si="156"/>
        <v>0.25117432108735877</v>
      </c>
      <c r="T219" s="226">
        <f t="shared" si="156"/>
        <v>0.28334004027471754</v>
      </c>
      <c r="U219" s="226">
        <f t="shared" si="156"/>
        <v>0.31550575946207632</v>
      </c>
      <c r="V219" s="226">
        <f t="shared" si="156"/>
        <v>0.3476714786494351</v>
      </c>
      <c r="W219" s="226">
        <f t="shared" si="156"/>
        <v>0.37983719783679387</v>
      </c>
      <c r="X219" s="226">
        <f t="shared" si="156"/>
        <v>0.41200291702415265</v>
      </c>
      <c r="Y219" s="226">
        <f t="shared" si="156"/>
        <v>0.44416863621151143</v>
      </c>
      <c r="Z219" s="226">
        <f t="shared" si="156"/>
        <v>0.4763343553988702</v>
      </c>
      <c r="AA219" s="226">
        <f t="shared" si="156"/>
        <v>0.50850007458622903</v>
      </c>
      <c r="AB219" s="226">
        <f t="shared" si="156"/>
        <v>0.54066579377358781</v>
      </c>
      <c r="AC219" s="226">
        <f t="shared" si="156"/>
        <v>0.59035823829222334</v>
      </c>
      <c r="AD219" s="226">
        <f t="shared" si="156"/>
        <v>0.64005068281085886</v>
      </c>
      <c r="AE219" s="226">
        <f t="shared" si="156"/>
        <v>0.68974312732949439</v>
      </c>
      <c r="AF219" s="226">
        <f t="shared" si="156"/>
        <v>0.73943557184812991</v>
      </c>
      <c r="AG219" s="226">
        <f t="shared" si="156"/>
        <v>0.78912801636676544</v>
      </c>
      <c r="AH219" s="226">
        <f t="shared" si="156"/>
        <v>0.83882046088540096</v>
      </c>
      <c r="AI219" s="226">
        <f t="shared" si="156"/>
        <v>0.88851290540403649</v>
      </c>
      <c r="AJ219" s="226">
        <f t="shared" si="156"/>
        <v>0.93820534992267202</v>
      </c>
      <c r="AK219" s="226">
        <f t="shared" si="156"/>
        <v>0.98789779444130754</v>
      </c>
      <c r="AL219" s="226">
        <f t="shared" si="156"/>
        <v>1.0375902389599432</v>
      </c>
      <c r="AM219" s="256">
        <f t="shared" si="152"/>
        <v>1.2931966660564604</v>
      </c>
      <c r="AN219" s="226">
        <f t="shared" si="147"/>
        <v>1.5488030931529777</v>
      </c>
      <c r="AO219" s="226">
        <f t="shared" si="147"/>
        <v>1.5488030931529777</v>
      </c>
      <c r="AP219" s="226">
        <f t="shared" si="148"/>
        <v>1.5488030931529777</v>
      </c>
      <c r="AR219" s="226"/>
      <c r="AS219" s="226"/>
      <c r="AV219" s="226"/>
      <c r="AW219" s="226"/>
      <c r="BG219" s="226">
        <f t="shared" si="149"/>
        <v>2.1053938341249277E-2</v>
      </c>
      <c r="BH219" s="130" t="e">
        <f t="shared" si="150"/>
        <v>#DIV/0!</v>
      </c>
    </row>
    <row r="220" spans="1:60">
      <c r="B220" s="22" t="str">
        <f t="shared" si="140"/>
        <v>COM_PROJ</v>
      </c>
      <c r="C220" s="23" t="str">
        <f t="shared" si="141"/>
        <v>-</v>
      </c>
      <c r="D220" s="61" t="str">
        <f t="shared" si="142"/>
        <v>TPPUMER</v>
      </c>
      <c r="E220" s="23" t="str">
        <f t="shared" si="143"/>
        <v>-</v>
      </c>
      <c r="F220" s="23" t="str">
        <f t="shared" si="143"/>
        <v>-</v>
      </c>
      <c r="G220" s="23" t="str">
        <f t="shared" si="143"/>
        <v>-</v>
      </c>
      <c r="H220" s="23" t="str">
        <f t="shared" si="143"/>
        <v>-</v>
      </c>
      <c r="I220" s="22">
        <f t="shared" si="144"/>
        <v>0</v>
      </c>
      <c r="J220" s="226">
        <f>INDEX('[3]TS BYDem'!J$10:J$59,MATCH($D220,'[3]TS BYDem'!D$10:D$59,0))</f>
        <v>15.8</v>
      </c>
      <c r="K220" s="226">
        <f>IF(K$213=-1,L220,IF(K$213=99,BG220,IF(K$213=0,INDEX($E192:$K192,0,K$211),(INDEX($E192:$K192,0,K$213+1)-INDEX($E192:$K192,0,K$213))/(INDEX($E$185:$K$185,0,K$213+1)-INDEX($E$185:$K$185,0,K$213))+BG220)))</f>
        <v>17.201297447162645</v>
      </c>
      <c r="L220" s="226">
        <f t="shared" ref="L220:AL220" si="157">IF(L$213=-1,M220,IF(L$213=99,K220,IF(L$213=0,INDEX($E192:$K192,0,L$211),(INDEX($E192:$K192,0,L$213+1)-INDEX($E192:$K192,0,L$213))/(INDEX($E$185:$K$185,0,L$213+1)-INDEX($E$185:$K$185,0,L$213))+K220)))</f>
        <v>17.259866703642921</v>
      </c>
      <c r="M220" s="226">
        <f t="shared" si="157"/>
        <v>17.318435960123196</v>
      </c>
      <c r="N220" s="226">
        <f t="shared" si="157"/>
        <v>17.43681911962635</v>
      </c>
      <c r="O220" s="226">
        <f t="shared" si="157"/>
        <v>17.555202279129503</v>
      </c>
      <c r="P220" s="226">
        <f t="shared" si="157"/>
        <v>17.651919196899122</v>
      </c>
      <c r="Q220" s="226">
        <f t="shared" si="157"/>
        <v>17.748636114668741</v>
      </c>
      <c r="R220" s="226">
        <f t="shared" si="157"/>
        <v>17.845353032438364</v>
      </c>
      <c r="S220" s="226">
        <f t="shared" si="157"/>
        <v>17.380167734142425</v>
      </c>
      <c r="T220" s="226">
        <f t="shared" si="157"/>
        <v>16.91498243584649</v>
      </c>
      <c r="U220" s="226">
        <f t="shared" si="157"/>
        <v>16.449797137550554</v>
      </c>
      <c r="V220" s="226">
        <f t="shared" si="157"/>
        <v>15.984611839254617</v>
      </c>
      <c r="W220" s="226">
        <f t="shared" si="157"/>
        <v>15.51942654095868</v>
      </c>
      <c r="X220" s="226">
        <f t="shared" si="157"/>
        <v>15.054241242662743</v>
      </c>
      <c r="Y220" s="226">
        <f t="shared" si="157"/>
        <v>14.589055944366805</v>
      </c>
      <c r="Z220" s="226">
        <f t="shared" si="157"/>
        <v>14.123870646070868</v>
      </c>
      <c r="AA220" s="226">
        <f t="shared" si="157"/>
        <v>13.658685347774931</v>
      </c>
      <c r="AB220" s="226">
        <f t="shared" si="157"/>
        <v>13.193500049478992</v>
      </c>
      <c r="AC220" s="226">
        <f t="shared" si="157"/>
        <v>13.378629810848029</v>
      </c>
      <c r="AD220" s="226">
        <f t="shared" si="157"/>
        <v>13.563759572217066</v>
      </c>
      <c r="AE220" s="226">
        <f t="shared" si="157"/>
        <v>13.748889333586103</v>
      </c>
      <c r="AF220" s="226">
        <f t="shared" si="157"/>
        <v>13.93401909495514</v>
      </c>
      <c r="AG220" s="226">
        <f t="shared" si="157"/>
        <v>14.119148856324177</v>
      </c>
      <c r="AH220" s="226">
        <f t="shared" si="157"/>
        <v>14.304278617693214</v>
      </c>
      <c r="AI220" s="226">
        <f t="shared" si="157"/>
        <v>14.489408379062251</v>
      </c>
      <c r="AJ220" s="226">
        <f t="shared" si="157"/>
        <v>14.674538140431288</v>
      </c>
      <c r="AK220" s="226">
        <f t="shared" si="157"/>
        <v>14.859667901800325</v>
      </c>
      <c r="AL220" s="226">
        <f t="shared" si="157"/>
        <v>15.044797663169364</v>
      </c>
      <c r="AM220" s="256">
        <f t="shared" si="152"/>
        <v>16.602344097320774</v>
      </c>
      <c r="AN220" s="226">
        <f t="shared" si="147"/>
        <v>18.159890531472183</v>
      </c>
      <c r="AO220" s="226">
        <f t="shared" si="147"/>
        <v>18.159890531472183</v>
      </c>
      <c r="AP220" s="226">
        <f t="shared" si="148"/>
        <v>18.159890531472183</v>
      </c>
      <c r="AR220" s="226"/>
      <c r="AS220" s="226"/>
      <c r="AV220" s="226"/>
      <c r="AW220" s="226"/>
      <c r="BG220" s="226">
        <f t="shared" si="149"/>
        <v>17.142728190682369</v>
      </c>
      <c r="BH220" s="130">
        <f t="shared" si="150"/>
        <v>-8.4982796878630931E-2</v>
      </c>
    </row>
    <row r="221" spans="1:60">
      <c r="B221" s="22" t="str">
        <f t="shared" si="140"/>
        <v>COM_PROJ</v>
      </c>
      <c r="C221" s="23" t="str">
        <f t="shared" si="141"/>
        <v>-</v>
      </c>
      <c r="D221" s="61" t="str">
        <f t="shared" si="142"/>
        <v>TPPUGAT</v>
      </c>
      <c r="E221" s="23" t="str">
        <f t="shared" si="143"/>
        <v>-</v>
      </c>
      <c r="F221" s="23" t="str">
        <f t="shared" si="143"/>
        <v>-</v>
      </c>
      <c r="G221" s="23" t="str">
        <f t="shared" si="143"/>
        <v>-</v>
      </c>
      <c r="H221" s="23" t="str">
        <f t="shared" si="143"/>
        <v>-</v>
      </c>
      <c r="I221" s="22">
        <f t="shared" si="144"/>
        <v>0</v>
      </c>
      <c r="J221" s="226">
        <f>INDEX('[3]TS BYDem'!J$10:J$59,MATCH($D221,'[3]TS BYDem'!D$10:D$59,0))</f>
        <v>0</v>
      </c>
      <c r="K221" s="226">
        <f>IF(K$213=-1,L221,IF(K$213=99,BG221,IF(K$213=0,INDEX($E193:$K193,0,K$211),(INDEX($E193:$K193,0,K$213+1)-INDEX($E193:$K193,0,K$213))/(INDEX($E$185:$K$185,0,K$213+1)-INDEX($E$185:$K$185,0,K$213))+BG221)))</f>
        <v>0.55636438726329929</v>
      </c>
      <c r="L221" s="226">
        <f t="shared" ref="L221:AL221" si="158">IF(L$213=-1,M221,IF(L$213=99,K221,IF(L$213=0,INDEX($E193:$K193,0,L$211),(INDEX($E193:$K193,0,L$213+1)-INDEX($E193:$K193,0,L$213))/(INDEX($E$185:$K$185,0,L$213+1)-INDEX($E$185:$K$185,0,L$213))+K221)))</f>
        <v>0.57098512094066101</v>
      </c>
      <c r="M221" s="226">
        <f t="shared" si="158"/>
        <v>0.58560585461802261</v>
      </c>
      <c r="N221" s="226">
        <f t="shared" si="158"/>
        <v>0.59979525964270741</v>
      </c>
      <c r="O221" s="226">
        <f t="shared" si="158"/>
        <v>0.6139846646673921</v>
      </c>
      <c r="P221" s="226">
        <f t="shared" si="158"/>
        <v>0.61115250823634748</v>
      </c>
      <c r="Q221" s="226">
        <f t="shared" si="158"/>
        <v>0.60832035180530286</v>
      </c>
      <c r="R221" s="226">
        <f t="shared" si="158"/>
        <v>0.60548819537425813</v>
      </c>
      <c r="S221" s="226">
        <f t="shared" si="158"/>
        <v>0.62173986975447038</v>
      </c>
      <c r="T221" s="226">
        <f t="shared" si="158"/>
        <v>0.63799154413468262</v>
      </c>
      <c r="U221" s="226">
        <f t="shared" si="158"/>
        <v>0.65424321851489486</v>
      </c>
      <c r="V221" s="226">
        <f t="shared" si="158"/>
        <v>0.67049489289510711</v>
      </c>
      <c r="W221" s="226">
        <f t="shared" si="158"/>
        <v>0.68674656727531935</v>
      </c>
      <c r="X221" s="226">
        <f t="shared" si="158"/>
        <v>0.7029982416555316</v>
      </c>
      <c r="Y221" s="226">
        <f t="shared" si="158"/>
        <v>0.71924991603574384</v>
      </c>
      <c r="Z221" s="226">
        <f t="shared" si="158"/>
        <v>0.73550159041595609</v>
      </c>
      <c r="AA221" s="226">
        <f t="shared" si="158"/>
        <v>0.75175326479616833</v>
      </c>
      <c r="AB221" s="226">
        <f t="shared" si="158"/>
        <v>0.76800493917638013</v>
      </c>
      <c r="AC221" s="226">
        <f t="shared" si="158"/>
        <v>0.79117632042838004</v>
      </c>
      <c r="AD221" s="226">
        <f t="shared" si="158"/>
        <v>0.81434770168037995</v>
      </c>
      <c r="AE221" s="226">
        <f t="shared" si="158"/>
        <v>0.83751908293237987</v>
      </c>
      <c r="AF221" s="226">
        <f t="shared" si="158"/>
        <v>0.86069046418437978</v>
      </c>
      <c r="AG221" s="226">
        <f t="shared" si="158"/>
        <v>0.88386184543637969</v>
      </c>
      <c r="AH221" s="226">
        <f t="shared" si="158"/>
        <v>0.9070332266883796</v>
      </c>
      <c r="AI221" s="226">
        <f t="shared" si="158"/>
        <v>0.93020460794037951</v>
      </c>
      <c r="AJ221" s="226">
        <f t="shared" si="158"/>
        <v>0.95337598919237942</v>
      </c>
      <c r="AK221" s="226">
        <f t="shared" si="158"/>
        <v>0.97654737044437934</v>
      </c>
      <c r="AL221" s="226">
        <f t="shared" si="158"/>
        <v>0.99971875169637903</v>
      </c>
      <c r="AM221" s="256">
        <f t="shared" si="152"/>
        <v>1.1282340078850792</v>
      </c>
      <c r="AN221" s="226">
        <f t="shared" si="147"/>
        <v>1.2567492640737796</v>
      </c>
      <c r="AO221" s="226">
        <f t="shared" si="147"/>
        <v>1.2567492640737796</v>
      </c>
      <c r="AP221" s="226">
        <f t="shared" si="148"/>
        <v>1.2567492640737796</v>
      </c>
      <c r="AR221" s="226"/>
      <c r="AS221" s="226"/>
      <c r="AV221" s="226"/>
      <c r="AW221" s="226"/>
      <c r="BG221" s="226">
        <f t="shared" si="149"/>
        <v>0.54174365358593757</v>
      </c>
      <c r="BH221" s="130" t="e">
        <f t="shared" si="150"/>
        <v>#DIV/0!</v>
      </c>
    </row>
    <row r="222" spans="1:60">
      <c r="A222" s="225" t="s">
        <v>16</v>
      </c>
      <c r="L222" s="225"/>
      <c r="M222" s="41"/>
    </row>
    <row r="223" spans="1:60" s="231" customFormat="1">
      <c r="A223" s="136" t="s">
        <v>16</v>
      </c>
      <c r="B223" s="231" t="s">
        <v>393</v>
      </c>
      <c r="C223" s="231">
        <v>1</v>
      </c>
      <c r="D223" s="231">
        <v>2006</v>
      </c>
      <c r="E223" s="231">
        <f>F4</f>
        <v>2015</v>
      </c>
      <c r="F223" s="231">
        <v>2017</v>
      </c>
      <c r="G223" s="231">
        <v>2020</v>
      </c>
      <c r="H223" s="231">
        <v>2030</v>
      </c>
      <c r="I223" s="231">
        <v>2040</v>
      </c>
      <c r="J223" s="280">
        <v>2050</v>
      </c>
      <c r="K223" s="136">
        <f>MATCH(J$209,$C$210:$I$210,$C223)</f>
        <v>1</v>
      </c>
      <c r="L223" s="231">
        <f t="shared" ref="L223:AY223" si="159">MATCH(K$227,$D$223:$J$223,$C223)</f>
        <v>1</v>
      </c>
      <c r="M223" s="231">
        <f t="shared" si="159"/>
        <v>1</v>
      </c>
      <c r="N223" s="231">
        <f t="shared" si="159"/>
        <v>2</v>
      </c>
      <c r="O223" s="231">
        <f t="shared" si="159"/>
        <v>2</v>
      </c>
      <c r="P223" s="231">
        <f t="shared" si="159"/>
        <v>3</v>
      </c>
      <c r="Q223" s="231">
        <f t="shared" si="159"/>
        <v>3</v>
      </c>
      <c r="R223" s="231">
        <f t="shared" si="159"/>
        <v>3</v>
      </c>
      <c r="S223" s="231">
        <f t="shared" si="159"/>
        <v>4</v>
      </c>
      <c r="T223" s="231">
        <f t="shared" si="159"/>
        <v>4</v>
      </c>
      <c r="U223" s="231">
        <f t="shared" si="159"/>
        <v>4</v>
      </c>
      <c r="V223" s="231">
        <f t="shared" si="159"/>
        <v>4</v>
      </c>
      <c r="W223" s="231">
        <f t="shared" si="159"/>
        <v>4</v>
      </c>
      <c r="X223" s="231">
        <f t="shared" si="159"/>
        <v>4</v>
      </c>
      <c r="Y223" s="231">
        <f t="shared" si="159"/>
        <v>4</v>
      </c>
      <c r="Z223" s="231">
        <f t="shared" si="159"/>
        <v>4</v>
      </c>
      <c r="AA223" s="231">
        <f t="shared" si="159"/>
        <v>4</v>
      </c>
      <c r="AB223" s="231">
        <f t="shared" si="159"/>
        <v>4</v>
      </c>
      <c r="AC223" s="231">
        <f t="shared" si="159"/>
        <v>5</v>
      </c>
      <c r="AD223" s="231">
        <f t="shared" si="159"/>
        <v>5</v>
      </c>
      <c r="AE223" s="231">
        <f t="shared" si="159"/>
        <v>5</v>
      </c>
      <c r="AF223" s="231">
        <f t="shared" si="159"/>
        <v>5</v>
      </c>
      <c r="AG223" s="231">
        <f t="shared" si="159"/>
        <v>5</v>
      </c>
      <c r="AH223" s="231">
        <f t="shared" si="159"/>
        <v>5</v>
      </c>
      <c r="AI223" s="231">
        <f t="shared" si="159"/>
        <v>5</v>
      </c>
      <c r="AJ223" s="231">
        <f t="shared" si="159"/>
        <v>5</v>
      </c>
      <c r="AK223" s="231">
        <f t="shared" si="159"/>
        <v>5</v>
      </c>
      <c r="AL223" s="231">
        <f t="shared" si="159"/>
        <v>5</v>
      </c>
      <c r="AM223" s="231">
        <f t="shared" si="159"/>
        <v>6</v>
      </c>
      <c r="AN223" s="231">
        <f t="shared" si="159"/>
        <v>6</v>
      </c>
      <c r="AO223" s="231">
        <f t="shared" si="159"/>
        <v>6</v>
      </c>
      <c r="AP223" s="231">
        <f t="shared" si="159"/>
        <v>6</v>
      </c>
      <c r="AQ223" s="231">
        <f t="shared" si="159"/>
        <v>6</v>
      </c>
      <c r="AR223" s="231">
        <f t="shared" si="159"/>
        <v>6</v>
      </c>
      <c r="AS223" s="231">
        <f t="shared" si="159"/>
        <v>6</v>
      </c>
      <c r="AT223" s="231">
        <f t="shared" si="159"/>
        <v>6</v>
      </c>
      <c r="AU223" s="231">
        <f t="shared" si="159"/>
        <v>6</v>
      </c>
      <c r="AV223" s="231">
        <f t="shared" si="159"/>
        <v>6</v>
      </c>
      <c r="AW223" s="231">
        <f t="shared" si="159"/>
        <v>7</v>
      </c>
      <c r="AX223" s="231">
        <f t="shared" si="159"/>
        <v>7</v>
      </c>
      <c r="AY223" s="231">
        <f t="shared" si="159"/>
        <v>7</v>
      </c>
    </row>
    <row r="224" spans="1:60">
      <c r="A224" s="41" t="s">
        <v>16</v>
      </c>
      <c r="B224" s="225" t="s">
        <v>394</v>
      </c>
      <c r="C224" s="225">
        <v>0</v>
      </c>
      <c r="D224" s="225">
        <f t="shared" ref="D224:J224" si="160">INDEX($D223:$J223,0,COUNT($D223:$J223)-D225)</f>
        <v>2050</v>
      </c>
      <c r="E224" s="225">
        <f t="shared" si="160"/>
        <v>2040</v>
      </c>
      <c r="F224" s="225">
        <f t="shared" si="160"/>
        <v>2030</v>
      </c>
      <c r="G224" s="225">
        <f t="shared" si="160"/>
        <v>2020</v>
      </c>
      <c r="H224" s="225">
        <f t="shared" si="160"/>
        <v>2017</v>
      </c>
      <c r="I224" s="225">
        <f t="shared" si="160"/>
        <v>2015</v>
      </c>
      <c r="J224" s="143">
        <f t="shared" si="160"/>
        <v>2006</v>
      </c>
      <c r="K224" s="41">
        <f>MATCH(J$209,$C$210:$I$210,$C224)</f>
        <v>1</v>
      </c>
      <c r="L224" s="225" t="e">
        <f t="shared" ref="L224:AY224" si="161">MATCH(K$227,$D$223:$J$223,$C224)</f>
        <v>#N/A</v>
      </c>
      <c r="M224" s="225" t="e">
        <f t="shared" si="161"/>
        <v>#N/A</v>
      </c>
      <c r="N224" s="225">
        <f t="shared" si="161"/>
        <v>2</v>
      </c>
      <c r="O224" s="225" t="e">
        <f t="shared" si="161"/>
        <v>#N/A</v>
      </c>
      <c r="P224" s="225">
        <f t="shared" si="161"/>
        <v>3</v>
      </c>
      <c r="Q224" s="225" t="e">
        <f t="shared" si="161"/>
        <v>#N/A</v>
      </c>
      <c r="R224" s="225" t="e">
        <f t="shared" si="161"/>
        <v>#N/A</v>
      </c>
      <c r="S224" s="225">
        <f t="shared" si="161"/>
        <v>4</v>
      </c>
      <c r="T224" s="225" t="e">
        <f t="shared" si="161"/>
        <v>#N/A</v>
      </c>
      <c r="U224" s="225" t="e">
        <f t="shared" si="161"/>
        <v>#N/A</v>
      </c>
      <c r="V224" s="225" t="e">
        <f t="shared" si="161"/>
        <v>#N/A</v>
      </c>
      <c r="W224" s="225" t="e">
        <f t="shared" si="161"/>
        <v>#N/A</v>
      </c>
      <c r="X224" s="225" t="e">
        <f t="shared" si="161"/>
        <v>#N/A</v>
      </c>
      <c r="Y224" s="225" t="e">
        <f t="shared" si="161"/>
        <v>#N/A</v>
      </c>
      <c r="Z224" s="225" t="e">
        <f t="shared" si="161"/>
        <v>#N/A</v>
      </c>
      <c r="AA224" s="225" t="e">
        <f t="shared" si="161"/>
        <v>#N/A</v>
      </c>
      <c r="AB224" s="225" t="e">
        <f t="shared" si="161"/>
        <v>#N/A</v>
      </c>
      <c r="AC224" s="225">
        <f t="shared" si="161"/>
        <v>5</v>
      </c>
      <c r="AD224" s="225" t="e">
        <f t="shared" si="161"/>
        <v>#N/A</v>
      </c>
      <c r="AE224" s="225" t="e">
        <f t="shared" si="161"/>
        <v>#N/A</v>
      </c>
      <c r="AF224" s="225" t="e">
        <f t="shared" si="161"/>
        <v>#N/A</v>
      </c>
      <c r="AG224" s="225" t="e">
        <f t="shared" si="161"/>
        <v>#N/A</v>
      </c>
      <c r="AH224" s="225" t="e">
        <f t="shared" si="161"/>
        <v>#N/A</v>
      </c>
      <c r="AI224" s="225" t="e">
        <f t="shared" si="161"/>
        <v>#N/A</v>
      </c>
      <c r="AJ224" s="225" t="e">
        <f t="shared" si="161"/>
        <v>#N/A</v>
      </c>
      <c r="AK224" s="225" t="e">
        <f t="shared" si="161"/>
        <v>#N/A</v>
      </c>
      <c r="AL224" s="225" t="e">
        <f t="shared" si="161"/>
        <v>#N/A</v>
      </c>
      <c r="AM224" s="225">
        <f t="shared" si="161"/>
        <v>6</v>
      </c>
      <c r="AN224" s="225" t="e">
        <f t="shared" si="161"/>
        <v>#N/A</v>
      </c>
      <c r="AO224" s="225" t="e">
        <f t="shared" si="161"/>
        <v>#N/A</v>
      </c>
      <c r="AP224" s="225" t="e">
        <f t="shared" si="161"/>
        <v>#N/A</v>
      </c>
      <c r="AQ224" s="225" t="e">
        <f t="shared" si="161"/>
        <v>#N/A</v>
      </c>
      <c r="AR224" s="225" t="e">
        <f t="shared" si="161"/>
        <v>#N/A</v>
      </c>
      <c r="AS224" s="225" t="e">
        <f t="shared" si="161"/>
        <v>#N/A</v>
      </c>
      <c r="AT224" s="225" t="e">
        <f t="shared" si="161"/>
        <v>#N/A</v>
      </c>
      <c r="AU224" s="225" t="e">
        <f t="shared" si="161"/>
        <v>#N/A</v>
      </c>
      <c r="AV224" s="225" t="e">
        <f t="shared" si="161"/>
        <v>#N/A</v>
      </c>
      <c r="AW224" s="225">
        <f t="shared" si="161"/>
        <v>7</v>
      </c>
      <c r="AX224" s="225" t="e">
        <f t="shared" si="161"/>
        <v>#N/A</v>
      </c>
      <c r="AY224" s="225" t="e">
        <f t="shared" si="161"/>
        <v>#N/A</v>
      </c>
    </row>
    <row r="225" spans="1:58">
      <c r="A225" s="41" t="s">
        <v>16</v>
      </c>
      <c r="B225" s="225" t="s">
        <v>392</v>
      </c>
      <c r="C225" s="225">
        <v>-1</v>
      </c>
      <c r="D225" s="225">
        <v>0</v>
      </c>
      <c r="E225" s="225">
        <v>1</v>
      </c>
      <c r="F225" s="228">
        <v>2</v>
      </c>
      <c r="G225" s="225">
        <v>3</v>
      </c>
      <c r="H225" s="225">
        <v>4</v>
      </c>
      <c r="I225" s="225">
        <v>5</v>
      </c>
      <c r="J225" s="225">
        <v>6</v>
      </c>
      <c r="K225" s="225">
        <f>MATCH(J$209,$C$211:$I$211,$C225)</f>
        <v>7</v>
      </c>
      <c r="L225" s="225">
        <f t="shared" ref="L225:AY225" si="162">MATCH(K$227,$D$224:$J$224,$C225)</f>
        <v>6</v>
      </c>
      <c r="M225" s="225">
        <f t="shared" si="162"/>
        <v>6</v>
      </c>
      <c r="N225" s="225">
        <f t="shared" si="162"/>
        <v>6</v>
      </c>
      <c r="O225" s="225">
        <f t="shared" si="162"/>
        <v>5</v>
      </c>
      <c r="P225" s="225">
        <f t="shared" si="162"/>
        <v>5</v>
      </c>
      <c r="Q225" s="225">
        <f t="shared" si="162"/>
        <v>4</v>
      </c>
      <c r="R225" s="225">
        <f t="shared" si="162"/>
        <v>4</v>
      </c>
      <c r="S225" s="225">
        <f t="shared" si="162"/>
        <v>4</v>
      </c>
      <c r="T225" s="225">
        <f t="shared" si="162"/>
        <v>3</v>
      </c>
      <c r="U225" s="225">
        <f t="shared" si="162"/>
        <v>3</v>
      </c>
      <c r="V225" s="225">
        <f t="shared" si="162"/>
        <v>3</v>
      </c>
      <c r="W225" s="225">
        <f t="shared" si="162"/>
        <v>3</v>
      </c>
      <c r="X225" s="225">
        <f t="shared" si="162"/>
        <v>3</v>
      </c>
      <c r="Y225" s="225">
        <f t="shared" si="162"/>
        <v>3</v>
      </c>
      <c r="Z225" s="225">
        <f t="shared" si="162"/>
        <v>3</v>
      </c>
      <c r="AA225" s="225">
        <f t="shared" si="162"/>
        <v>3</v>
      </c>
      <c r="AB225" s="225">
        <f t="shared" si="162"/>
        <v>3</v>
      </c>
      <c r="AC225" s="225">
        <f t="shared" si="162"/>
        <v>3</v>
      </c>
      <c r="AD225" s="225">
        <f t="shared" si="162"/>
        <v>2</v>
      </c>
      <c r="AE225" s="225">
        <f t="shared" si="162"/>
        <v>2</v>
      </c>
      <c r="AF225" s="225">
        <f t="shared" si="162"/>
        <v>2</v>
      </c>
      <c r="AG225" s="225">
        <f t="shared" si="162"/>
        <v>2</v>
      </c>
      <c r="AH225" s="225">
        <f t="shared" si="162"/>
        <v>2</v>
      </c>
      <c r="AI225" s="225">
        <f t="shared" si="162"/>
        <v>2</v>
      </c>
      <c r="AJ225" s="225">
        <f t="shared" si="162"/>
        <v>2</v>
      </c>
      <c r="AK225" s="225">
        <f t="shared" si="162"/>
        <v>2</v>
      </c>
      <c r="AL225" s="225">
        <f t="shared" si="162"/>
        <v>2</v>
      </c>
      <c r="AM225" s="225">
        <f t="shared" si="162"/>
        <v>2</v>
      </c>
      <c r="AN225" s="225">
        <f t="shared" si="162"/>
        <v>1</v>
      </c>
      <c r="AO225" s="225">
        <f t="shared" si="162"/>
        <v>1</v>
      </c>
      <c r="AP225" s="225">
        <f t="shared" si="162"/>
        <v>1</v>
      </c>
      <c r="AQ225" s="225">
        <f t="shared" si="162"/>
        <v>1</v>
      </c>
      <c r="AR225" s="225">
        <f t="shared" si="162"/>
        <v>1</v>
      </c>
      <c r="AS225" s="225">
        <f t="shared" si="162"/>
        <v>1</v>
      </c>
      <c r="AT225" s="225">
        <f t="shared" si="162"/>
        <v>1</v>
      </c>
      <c r="AU225" s="225">
        <f t="shared" si="162"/>
        <v>1</v>
      </c>
      <c r="AV225" s="225">
        <f t="shared" si="162"/>
        <v>1</v>
      </c>
      <c r="AW225" s="225">
        <f t="shared" si="162"/>
        <v>1</v>
      </c>
      <c r="AX225" s="225" t="e">
        <f t="shared" si="162"/>
        <v>#N/A</v>
      </c>
      <c r="AY225" s="225" t="e">
        <f t="shared" si="162"/>
        <v>#N/A</v>
      </c>
    </row>
    <row r="226" spans="1:58" s="139" customFormat="1">
      <c r="A226" s="138" t="s">
        <v>16</v>
      </c>
      <c r="B226" s="139" t="s">
        <v>395</v>
      </c>
      <c r="K226" s="229">
        <f>IF(ISNA(K223),-1,IF(ISNA(K225),99,IF(ISNA(K224),K223,0)))</f>
        <v>0</v>
      </c>
      <c r="L226" s="229">
        <f>IF(ISNA(L223),-1,IF(ISNA(L225),99,IF(ISNA(L224),L223,0)))</f>
        <v>1</v>
      </c>
      <c r="M226" s="229">
        <f t="shared" ref="M226:AY226" si="163">IF(ISNA(M223),-1,IF(ISNA(M225),99,IF(ISNA(M224),M223,0)))</f>
        <v>1</v>
      </c>
      <c r="N226" s="229">
        <f t="shared" si="163"/>
        <v>0</v>
      </c>
      <c r="O226" s="229">
        <f t="shared" si="163"/>
        <v>2</v>
      </c>
      <c r="P226" s="229">
        <f t="shared" si="163"/>
        <v>0</v>
      </c>
      <c r="Q226" s="229">
        <f t="shared" si="163"/>
        <v>3</v>
      </c>
      <c r="R226" s="229">
        <f t="shared" si="163"/>
        <v>3</v>
      </c>
      <c r="S226" s="229">
        <f t="shared" si="163"/>
        <v>0</v>
      </c>
      <c r="T226" s="229">
        <f t="shared" si="163"/>
        <v>4</v>
      </c>
      <c r="U226" s="229">
        <f t="shared" si="163"/>
        <v>4</v>
      </c>
      <c r="V226" s="229">
        <f t="shared" si="163"/>
        <v>4</v>
      </c>
      <c r="W226" s="229">
        <f t="shared" si="163"/>
        <v>4</v>
      </c>
      <c r="X226" s="229">
        <f t="shared" si="163"/>
        <v>4</v>
      </c>
      <c r="Y226" s="229">
        <f t="shared" si="163"/>
        <v>4</v>
      </c>
      <c r="Z226" s="229">
        <f t="shared" si="163"/>
        <v>4</v>
      </c>
      <c r="AA226" s="229">
        <f t="shared" si="163"/>
        <v>4</v>
      </c>
      <c r="AB226" s="229">
        <f t="shared" si="163"/>
        <v>4</v>
      </c>
      <c r="AC226" s="229">
        <f t="shared" si="163"/>
        <v>0</v>
      </c>
      <c r="AD226" s="229">
        <f t="shared" si="163"/>
        <v>5</v>
      </c>
      <c r="AE226" s="229">
        <f t="shared" si="163"/>
        <v>5</v>
      </c>
      <c r="AF226" s="229">
        <f t="shared" si="163"/>
        <v>5</v>
      </c>
      <c r="AG226" s="229">
        <f t="shared" si="163"/>
        <v>5</v>
      </c>
      <c r="AH226" s="229">
        <f t="shared" si="163"/>
        <v>5</v>
      </c>
      <c r="AI226" s="229">
        <f t="shared" si="163"/>
        <v>5</v>
      </c>
      <c r="AJ226" s="229">
        <f t="shared" si="163"/>
        <v>5</v>
      </c>
      <c r="AK226" s="229">
        <f t="shared" si="163"/>
        <v>5</v>
      </c>
      <c r="AL226" s="229">
        <f t="shared" si="163"/>
        <v>5</v>
      </c>
      <c r="AM226" s="229">
        <f t="shared" si="163"/>
        <v>0</v>
      </c>
      <c r="AN226" s="229">
        <f t="shared" si="163"/>
        <v>6</v>
      </c>
      <c r="AO226" s="229">
        <f t="shared" si="163"/>
        <v>6</v>
      </c>
      <c r="AP226" s="229">
        <f t="shared" si="163"/>
        <v>6</v>
      </c>
      <c r="AQ226" s="229">
        <f t="shared" si="163"/>
        <v>6</v>
      </c>
      <c r="AR226" s="229">
        <f t="shared" si="163"/>
        <v>6</v>
      </c>
      <c r="AS226" s="229">
        <f t="shared" si="163"/>
        <v>6</v>
      </c>
      <c r="AT226" s="229">
        <f t="shared" si="163"/>
        <v>6</v>
      </c>
      <c r="AU226" s="229">
        <f t="shared" si="163"/>
        <v>6</v>
      </c>
      <c r="AV226" s="229">
        <f t="shared" si="163"/>
        <v>6</v>
      </c>
      <c r="AW226" s="229">
        <f t="shared" si="163"/>
        <v>0</v>
      </c>
      <c r="AX226" s="229">
        <f t="shared" si="163"/>
        <v>99</v>
      </c>
      <c r="AY226" s="229">
        <f t="shared" si="163"/>
        <v>99</v>
      </c>
      <c r="BA226" s="229"/>
      <c r="BB226" s="229"/>
      <c r="BC226" s="229"/>
      <c r="BD226" s="229"/>
      <c r="BE226" s="229"/>
      <c r="BF226" s="229"/>
    </row>
    <row r="227" spans="1:58">
      <c r="A227" s="225" t="s">
        <v>16</v>
      </c>
      <c r="C227" s="16"/>
      <c r="D227" s="16"/>
      <c r="E227" s="16"/>
      <c r="F227" s="16"/>
      <c r="G227" s="16"/>
      <c r="H227" s="16" t="s">
        <v>439</v>
      </c>
      <c r="I227" s="16"/>
      <c r="J227" s="18">
        <v>2012</v>
      </c>
      <c r="K227" s="18">
        <f>1+J227</f>
        <v>2013</v>
      </c>
      <c r="L227" s="18">
        <f t="shared" ref="L227:AV227" si="164">1+K227</f>
        <v>2014</v>
      </c>
      <c r="M227" s="18">
        <f>1+L227</f>
        <v>2015</v>
      </c>
      <c r="N227" s="18">
        <f t="shared" si="164"/>
        <v>2016</v>
      </c>
      <c r="O227" s="18">
        <f t="shared" si="164"/>
        <v>2017</v>
      </c>
      <c r="P227" s="18">
        <f t="shared" si="164"/>
        <v>2018</v>
      </c>
      <c r="Q227" s="18">
        <f t="shared" si="164"/>
        <v>2019</v>
      </c>
      <c r="R227" s="18">
        <f t="shared" si="164"/>
        <v>2020</v>
      </c>
      <c r="S227" s="18">
        <f t="shared" si="164"/>
        <v>2021</v>
      </c>
      <c r="T227" s="18">
        <f t="shared" si="164"/>
        <v>2022</v>
      </c>
      <c r="U227" s="18">
        <f t="shared" si="164"/>
        <v>2023</v>
      </c>
      <c r="V227" s="18">
        <f t="shared" si="164"/>
        <v>2024</v>
      </c>
      <c r="W227" s="18">
        <f t="shared" si="164"/>
        <v>2025</v>
      </c>
      <c r="X227" s="18">
        <f t="shared" si="164"/>
        <v>2026</v>
      </c>
      <c r="Y227" s="18">
        <f t="shared" si="164"/>
        <v>2027</v>
      </c>
      <c r="Z227" s="18">
        <f t="shared" si="164"/>
        <v>2028</v>
      </c>
      <c r="AA227" s="18">
        <f t="shared" si="164"/>
        <v>2029</v>
      </c>
      <c r="AB227" s="18">
        <f t="shared" si="164"/>
        <v>2030</v>
      </c>
      <c r="AC227" s="18">
        <f t="shared" si="164"/>
        <v>2031</v>
      </c>
      <c r="AD227" s="18">
        <f t="shared" si="164"/>
        <v>2032</v>
      </c>
      <c r="AE227" s="18">
        <f t="shared" si="164"/>
        <v>2033</v>
      </c>
      <c r="AF227" s="18">
        <f t="shared" si="164"/>
        <v>2034</v>
      </c>
      <c r="AG227" s="18">
        <f t="shared" si="164"/>
        <v>2035</v>
      </c>
      <c r="AH227" s="18">
        <f t="shared" si="164"/>
        <v>2036</v>
      </c>
      <c r="AI227" s="18">
        <f t="shared" si="164"/>
        <v>2037</v>
      </c>
      <c r="AJ227" s="18">
        <f t="shared" si="164"/>
        <v>2038</v>
      </c>
      <c r="AK227" s="18">
        <f t="shared" si="164"/>
        <v>2039</v>
      </c>
      <c r="AL227" s="18">
        <f t="shared" si="164"/>
        <v>2040</v>
      </c>
      <c r="AM227" s="18">
        <f t="shared" si="164"/>
        <v>2041</v>
      </c>
      <c r="AN227" s="18">
        <f t="shared" si="164"/>
        <v>2042</v>
      </c>
      <c r="AO227" s="18">
        <f t="shared" si="164"/>
        <v>2043</v>
      </c>
      <c r="AP227" s="18">
        <f t="shared" si="164"/>
        <v>2044</v>
      </c>
      <c r="AQ227" s="18">
        <f t="shared" si="164"/>
        <v>2045</v>
      </c>
      <c r="AR227" s="18">
        <f t="shared" si="164"/>
        <v>2046</v>
      </c>
      <c r="AS227" s="18">
        <f t="shared" si="164"/>
        <v>2047</v>
      </c>
      <c r="AT227" s="18">
        <f t="shared" si="164"/>
        <v>2048</v>
      </c>
      <c r="AU227" s="18">
        <f t="shared" si="164"/>
        <v>2049</v>
      </c>
      <c r="AV227" s="18">
        <f t="shared" si="164"/>
        <v>2050</v>
      </c>
      <c r="AW227" s="18">
        <v>2060</v>
      </c>
      <c r="AX227" s="18">
        <v>2070</v>
      </c>
      <c r="AZ227" s="18"/>
      <c r="BA227" s="18"/>
      <c r="BB227" s="18"/>
      <c r="BC227" s="18"/>
      <c r="BD227" s="18"/>
      <c r="BE227" s="18"/>
    </row>
    <row r="228" spans="1:58">
      <c r="A228" s="225" t="s">
        <v>16</v>
      </c>
      <c r="B228" s="22" t="str">
        <f t="shared" ref="B228:B233" si="165">IF(A228="*","","COM_PROJ")</f>
        <v/>
      </c>
      <c r="C228" s="23" t="str">
        <f t="shared" ref="C228:C233" si="166">IF($A228="*","","-")</f>
        <v/>
      </c>
      <c r="E228" s="23" t="str">
        <f t="shared" ref="E228:H233" si="167">IF($A228="*","","-")</f>
        <v/>
      </c>
      <c r="F228" s="23"/>
      <c r="G228" s="23" t="str">
        <f t="shared" si="167"/>
        <v/>
      </c>
      <c r="H228" s="23" t="str">
        <f t="shared" si="167"/>
        <v/>
      </c>
      <c r="I228" s="61" t="str">
        <f t="shared" ref="I228:I235" si="168">B161</f>
        <v>TPPRCAR</v>
      </c>
      <c r="J228" s="226">
        <f t="shared" ref="J228:J235" si="169">E161</f>
        <v>116.82403288334702</v>
      </c>
      <c r="K228" s="226">
        <f t="shared" ref="K228:AW228" si="170">IF(L$226=-1,L228,IF(L$226=99,J228,IF(L$226=0,INDEX($E161:$K161,0,L$224),(INDEX($E161:$K161,0,L$226+1)-INDEX($E161:$K161,0,L$226))/(INDEX($E$160:$K$160,0,L$226+1)-INDEX($E$160:$K$160,0,L$226))+J228)))</f>
        <v>116.89788415309279</v>
      </c>
      <c r="L228" s="226">
        <f t="shared" si="170"/>
        <v>116.97173542283856</v>
      </c>
      <c r="M228" s="226">
        <f t="shared" si="170"/>
        <v>117.04558669258432</v>
      </c>
      <c r="N228" s="226">
        <f t="shared" si="170"/>
        <v>123.00945761090823</v>
      </c>
      <c r="O228" s="226">
        <f t="shared" si="170"/>
        <v>128.97332852923213</v>
      </c>
      <c r="P228" s="226">
        <f t="shared" si="170"/>
        <v>129.41578557779096</v>
      </c>
      <c r="Q228" s="226">
        <f t="shared" si="170"/>
        <v>129.85824262634978</v>
      </c>
      <c r="R228" s="226">
        <f t="shared" si="170"/>
        <v>130.30069967490863</v>
      </c>
      <c r="S228" s="226">
        <f t="shared" si="170"/>
        <v>133.94382435046467</v>
      </c>
      <c r="T228" s="226">
        <f t="shared" si="170"/>
        <v>137.5869490260207</v>
      </c>
      <c r="U228" s="226">
        <f t="shared" si="170"/>
        <v>141.23007370157674</v>
      </c>
      <c r="V228" s="226">
        <f t="shared" si="170"/>
        <v>144.87319837713278</v>
      </c>
      <c r="W228" s="226">
        <f t="shared" si="170"/>
        <v>148.51632305268882</v>
      </c>
      <c r="X228" s="226">
        <f t="shared" si="170"/>
        <v>152.15944772824486</v>
      </c>
      <c r="Y228" s="226">
        <f t="shared" si="170"/>
        <v>155.80257240380089</v>
      </c>
      <c r="Z228" s="226">
        <f t="shared" si="170"/>
        <v>159.44569707935693</v>
      </c>
      <c r="AA228" s="226">
        <f t="shared" si="170"/>
        <v>163.08882175491297</v>
      </c>
      <c r="AB228" s="226">
        <f t="shared" si="170"/>
        <v>166.73194643046889</v>
      </c>
      <c r="AC228" s="226">
        <f t="shared" si="170"/>
        <v>172.33168925349506</v>
      </c>
      <c r="AD228" s="226">
        <f t="shared" si="170"/>
        <v>177.93143207652122</v>
      </c>
      <c r="AE228" s="226">
        <f t="shared" si="170"/>
        <v>183.53117489954738</v>
      </c>
      <c r="AF228" s="226">
        <f t="shared" si="170"/>
        <v>189.13091772257354</v>
      </c>
      <c r="AG228" s="226">
        <f t="shared" si="170"/>
        <v>194.7306605455997</v>
      </c>
      <c r="AH228" s="226">
        <f t="shared" si="170"/>
        <v>200.33040336862587</v>
      </c>
      <c r="AI228" s="226">
        <f t="shared" si="170"/>
        <v>205.93014619165203</v>
      </c>
      <c r="AJ228" s="226">
        <f t="shared" si="170"/>
        <v>211.52988901467819</v>
      </c>
      <c r="AK228" s="226">
        <f t="shared" si="170"/>
        <v>217.12963183770435</v>
      </c>
      <c r="AL228" s="226">
        <f t="shared" si="170"/>
        <v>222.72937466073043</v>
      </c>
      <c r="AM228" s="226">
        <f t="shared" si="170"/>
        <v>229.56804353130389</v>
      </c>
      <c r="AN228" s="226">
        <f t="shared" si="170"/>
        <v>236.40671240187737</v>
      </c>
      <c r="AO228" s="226">
        <f t="shared" si="170"/>
        <v>243.24538127245086</v>
      </c>
      <c r="AP228" s="226">
        <f t="shared" si="170"/>
        <v>250.08405014302434</v>
      </c>
      <c r="AQ228" s="226">
        <f t="shared" si="170"/>
        <v>256.92271901359783</v>
      </c>
      <c r="AR228" s="226">
        <f t="shared" si="170"/>
        <v>263.76138788417131</v>
      </c>
      <c r="AS228" s="226">
        <f t="shared" si="170"/>
        <v>270.6000567547448</v>
      </c>
      <c r="AT228" s="226">
        <f t="shared" si="170"/>
        <v>277.43872562531828</v>
      </c>
      <c r="AU228" s="226">
        <f t="shared" si="170"/>
        <v>284.27739449589177</v>
      </c>
      <c r="AV228" s="226">
        <f t="shared" si="170"/>
        <v>291.11606336646514</v>
      </c>
      <c r="AW228" s="226">
        <f t="shared" si="170"/>
        <v>291.11606336646514</v>
      </c>
      <c r="AX228" s="226">
        <f t="shared" ref="AX228:AX235" si="171">IF(AY$226=-1,AZ228,IF(AY$226=99,AW228,IF(AY$226=0,INDEX($E161:$K161,0,AY$224),(INDEX($E161:$K161,0,AY$226+1)-INDEX($E161:$K161,0,AY$226))/(INDEX($E$160:$K$160,0,AY$226+1)-INDEX($E$160:$K$160,0,AY$226))+AW228)))</f>
        <v>291.11606336646514</v>
      </c>
      <c r="AZ228" s="226"/>
      <c r="BA228" s="226"/>
      <c r="BB228" s="226"/>
      <c r="BC228" s="226"/>
      <c r="BD228" s="226"/>
      <c r="BE228" s="226"/>
    </row>
    <row r="229" spans="1:58">
      <c r="A229" s="225" t="s">
        <v>16</v>
      </c>
      <c r="B229" s="22" t="str">
        <f t="shared" si="165"/>
        <v/>
      </c>
      <c r="C229" s="23" t="str">
        <f t="shared" si="166"/>
        <v/>
      </c>
      <c r="E229" s="23" t="str">
        <f t="shared" si="167"/>
        <v/>
      </c>
      <c r="F229" s="23"/>
      <c r="G229" s="23" t="str">
        <f t="shared" si="167"/>
        <v/>
      </c>
      <c r="H229" s="23" t="str">
        <f t="shared" si="167"/>
        <v/>
      </c>
      <c r="I229" s="61" t="str">
        <f t="shared" si="168"/>
        <v>TPPRSUV</v>
      </c>
      <c r="J229" s="226">
        <f t="shared" si="169"/>
        <v>13.41390739781861</v>
      </c>
      <c r="K229" s="226">
        <f t="shared" ref="K229:AW229" si="172">IF(L$226=-1,L229,IF(L$226=99,J229,IF(L$226=0,INDEX($E162:$K162,0,L$224),(INDEX($E162:$K162,0,L$226+1)-INDEX($E162:$K162,0,L$226))/(INDEX($E$160:$K$160,0,L$226+1)-INDEX($E$160:$K$160,0,L$226))+J229)))</f>
        <v>13.422387109305459</v>
      </c>
      <c r="L229" s="226">
        <f t="shared" si="172"/>
        <v>13.430866820792309</v>
      </c>
      <c r="M229" s="226">
        <f t="shared" si="172"/>
        <v>13.43934653227916</v>
      </c>
      <c r="N229" s="226">
        <f t="shared" si="172"/>
        <v>14.124126968773952</v>
      </c>
      <c r="O229" s="226">
        <f t="shared" si="172"/>
        <v>14.808907405268744</v>
      </c>
      <c r="P229" s="226">
        <f t="shared" si="172"/>
        <v>14.808907405268744</v>
      </c>
      <c r="Q229" s="226">
        <f t="shared" si="172"/>
        <v>14.808907405268744</v>
      </c>
      <c r="R229" s="226">
        <f t="shared" si="172"/>
        <v>14.808907405268744</v>
      </c>
      <c r="S229" s="226">
        <f t="shared" si="172"/>
        <v>15.222955036024084</v>
      </c>
      <c r="T229" s="226">
        <f t="shared" si="172"/>
        <v>15.637002666779424</v>
      </c>
      <c r="U229" s="226">
        <f t="shared" si="172"/>
        <v>16.051050297534761</v>
      </c>
      <c r="V229" s="226">
        <f t="shared" si="172"/>
        <v>16.465097928290099</v>
      </c>
      <c r="W229" s="226">
        <f t="shared" si="172"/>
        <v>16.879145559045437</v>
      </c>
      <c r="X229" s="226">
        <f t="shared" si="172"/>
        <v>17.293193189800775</v>
      </c>
      <c r="Y229" s="226">
        <f t="shared" si="172"/>
        <v>17.707240820556112</v>
      </c>
      <c r="Z229" s="226">
        <f t="shared" si="172"/>
        <v>18.12128845131145</v>
      </c>
      <c r="AA229" s="226">
        <f t="shared" si="172"/>
        <v>18.535336082066788</v>
      </c>
      <c r="AB229" s="226">
        <f t="shared" si="172"/>
        <v>18.949383712822137</v>
      </c>
      <c r="AC229" s="226">
        <f t="shared" si="172"/>
        <v>19.585804493112708</v>
      </c>
      <c r="AD229" s="226">
        <f t="shared" si="172"/>
        <v>20.222225273403279</v>
      </c>
      <c r="AE229" s="226">
        <f t="shared" si="172"/>
        <v>20.85864605369385</v>
      </c>
      <c r="AF229" s="226">
        <f t="shared" si="172"/>
        <v>21.495066833984421</v>
      </c>
      <c r="AG229" s="226">
        <f t="shared" si="172"/>
        <v>22.131487614274992</v>
      </c>
      <c r="AH229" s="226">
        <f t="shared" si="172"/>
        <v>22.767908394565563</v>
      </c>
      <c r="AI229" s="226">
        <f t="shared" si="172"/>
        <v>23.404329174856134</v>
      </c>
      <c r="AJ229" s="226">
        <f t="shared" si="172"/>
        <v>24.040749955146705</v>
      </c>
      <c r="AK229" s="226">
        <f t="shared" si="172"/>
        <v>24.677170735437276</v>
      </c>
      <c r="AL229" s="226">
        <f t="shared" si="172"/>
        <v>25.313591515727833</v>
      </c>
      <c r="AM229" s="226">
        <f t="shared" si="172"/>
        <v>26.090818455662045</v>
      </c>
      <c r="AN229" s="226">
        <f t="shared" si="172"/>
        <v>26.868045395596258</v>
      </c>
      <c r="AO229" s="226">
        <f t="shared" si="172"/>
        <v>27.645272335530471</v>
      </c>
      <c r="AP229" s="226">
        <f t="shared" si="172"/>
        <v>28.422499275464684</v>
      </c>
      <c r="AQ229" s="226">
        <f t="shared" si="172"/>
        <v>29.199726215398897</v>
      </c>
      <c r="AR229" s="226">
        <f t="shared" si="172"/>
        <v>29.97695315533311</v>
      </c>
      <c r="AS229" s="226">
        <f t="shared" si="172"/>
        <v>30.754180095267323</v>
      </c>
      <c r="AT229" s="226">
        <f t="shared" si="172"/>
        <v>31.531407035201536</v>
      </c>
      <c r="AU229" s="226">
        <f t="shared" si="172"/>
        <v>32.308633975135749</v>
      </c>
      <c r="AV229" s="226">
        <f t="shared" si="172"/>
        <v>33.085860915069972</v>
      </c>
      <c r="AW229" s="226">
        <f t="shared" si="172"/>
        <v>33.085860915069972</v>
      </c>
      <c r="AX229" s="226">
        <f t="shared" si="171"/>
        <v>33.085860915069972</v>
      </c>
      <c r="AZ229" s="226"/>
      <c r="BA229" s="226"/>
      <c r="BB229" s="226"/>
      <c r="BC229" s="226"/>
      <c r="BD229" s="226"/>
      <c r="BE229" s="226"/>
    </row>
    <row r="230" spans="1:58">
      <c r="A230" s="225" t="s">
        <v>16</v>
      </c>
      <c r="B230" s="22" t="str">
        <f t="shared" si="165"/>
        <v/>
      </c>
      <c r="C230" s="23" t="str">
        <f t="shared" si="166"/>
        <v/>
      </c>
      <c r="E230" s="23" t="str">
        <f t="shared" si="167"/>
        <v/>
      </c>
      <c r="F230" s="23"/>
      <c r="G230" s="23" t="str">
        <f t="shared" si="167"/>
        <v/>
      </c>
      <c r="H230" s="23" t="str">
        <f t="shared" si="167"/>
        <v/>
      </c>
      <c r="I230" s="61" t="str">
        <f t="shared" si="168"/>
        <v>TPPRMOT</v>
      </c>
      <c r="J230" s="226">
        <f t="shared" si="169"/>
        <v>4.5725961101900205</v>
      </c>
      <c r="K230" s="226">
        <f t="shared" ref="K230:AW230" si="173">IF(L$226=-1,L230,IF(L$226=99,J230,IF(L$226=0,INDEX($E163:$K163,0,L$224),(INDEX($E163:$K163,0,L$226+1)-INDEX($E163:$K163,0,L$226))/(INDEX($E$160:$K$160,0,L$226+1)-INDEX($E$160:$K$160,0,L$226))+J230)))</f>
        <v>4.1739490830213661</v>
      </c>
      <c r="L230" s="226">
        <f t="shared" si="173"/>
        <v>3.7753020558527113</v>
      </c>
      <c r="M230" s="226">
        <f t="shared" si="173"/>
        <v>3.3766550286840564</v>
      </c>
      <c r="N230" s="226">
        <f t="shared" si="173"/>
        <v>3.5487070922930202</v>
      </c>
      <c r="O230" s="226">
        <f t="shared" si="173"/>
        <v>3.7207591559019839</v>
      </c>
      <c r="P230" s="226">
        <f t="shared" si="173"/>
        <v>3.7207591559019839</v>
      </c>
      <c r="Q230" s="226">
        <f t="shared" si="173"/>
        <v>3.7207591559019839</v>
      </c>
      <c r="R230" s="226">
        <f t="shared" si="173"/>
        <v>3.7207591559019839</v>
      </c>
      <c r="S230" s="226">
        <f t="shared" si="173"/>
        <v>3.8247892150381726</v>
      </c>
      <c r="T230" s="226">
        <f t="shared" si="173"/>
        <v>3.9288192741743613</v>
      </c>
      <c r="U230" s="226">
        <f t="shared" si="173"/>
        <v>4.0328493333105504</v>
      </c>
      <c r="V230" s="226">
        <f t="shared" si="173"/>
        <v>4.1368793924467395</v>
      </c>
      <c r="W230" s="226">
        <f t="shared" si="173"/>
        <v>4.2409094515829286</v>
      </c>
      <c r="X230" s="226">
        <f t="shared" si="173"/>
        <v>4.3449395107191178</v>
      </c>
      <c r="Y230" s="226">
        <f t="shared" si="173"/>
        <v>4.4489695698553069</v>
      </c>
      <c r="Z230" s="226">
        <f t="shared" si="173"/>
        <v>4.552999628991496</v>
      </c>
      <c r="AA230" s="226">
        <f t="shared" si="173"/>
        <v>4.6570296881276851</v>
      </c>
      <c r="AB230" s="226">
        <f t="shared" si="173"/>
        <v>4.7610597472638725</v>
      </c>
      <c r="AC230" s="226">
        <f t="shared" si="173"/>
        <v>4.9209613781181476</v>
      </c>
      <c r="AD230" s="226">
        <f t="shared" si="173"/>
        <v>5.0808630089724227</v>
      </c>
      <c r="AE230" s="226">
        <f t="shared" si="173"/>
        <v>5.2407646398266978</v>
      </c>
      <c r="AF230" s="226">
        <f t="shared" si="173"/>
        <v>5.4006662706809729</v>
      </c>
      <c r="AG230" s="226">
        <f t="shared" si="173"/>
        <v>5.560567901535248</v>
      </c>
      <c r="AH230" s="226">
        <f t="shared" si="173"/>
        <v>5.7204695323895232</v>
      </c>
      <c r="AI230" s="226">
        <f t="shared" si="173"/>
        <v>5.8803711632437983</v>
      </c>
      <c r="AJ230" s="226">
        <f t="shared" si="173"/>
        <v>6.0402727940980734</v>
      </c>
      <c r="AK230" s="226">
        <f t="shared" si="173"/>
        <v>6.2001744249523485</v>
      </c>
      <c r="AL230" s="226">
        <f t="shared" si="173"/>
        <v>6.3600760558066227</v>
      </c>
      <c r="AM230" s="226">
        <f t="shared" si="173"/>
        <v>6.5553554355632295</v>
      </c>
      <c r="AN230" s="226">
        <f t="shared" si="173"/>
        <v>6.7506348153198363</v>
      </c>
      <c r="AO230" s="226">
        <f t="shared" si="173"/>
        <v>6.9459141950764431</v>
      </c>
      <c r="AP230" s="226">
        <f t="shared" si="173"/>
        <v>7.14119357483305</v>
      </c>
      <c r="AQ230" s="226">
        <f t="shared" si="173"/>
        <v>7.3364729545896568</v>
      </c>
      <c r="AR230" s="226">
        <f t="shared" si="173"/>
        <v>7.5317523343462636</v>
      </c>
      <c r="AS230" s="226">
        <f t="shared" si="173"/>
        <v>7.7270317141028704</v>
      </c>
      <c r="AT230" s="226">
        <f t="shared" si="173"/>
        <v>7.9223110938594772</v>
      </c>
      <c r="AU230" s="226">
        <f t="shared" si="173"/>
        <v>8.1175904736160849</v>
      </c>
      <c r="AV230" s="226">
        <f t="shared" si="173"/>
        <v>8.3128698533726944</v>
      </c>
      <c r="AW230" s="226">
        <f t="shared" si="173"/>
        <v>8.3128698533726944</v>
      </c>
      <c r="AX230" s="226">
        <f t="shared" si="171"/>
        <v>8.3128698533726944</v>
      </c>
      <c r="AZ230" s="226"/>
      <c r="BA230" s="226"/>
      <c r="BB230" s="226"/>
      <c r="BC230" s="226"/>
      <c r="BD230" s="226"/>
      <c r="BE230" s="226"/>
    </row>
    <row r="231" spans="1:58">
      <c r="A231" s="225" t="s">
        <v>16</v>
      </c>
      <c r="B231" s="22" t="str">
        <f t="shared" si="165"/>
        <v/>
      </c>
      <c r="C231" s="23" t="str">
        <f t="shared" si="166"/>
        <v/>
      </c>
      <c r="E231" s="23" t="str">
        <f t="shared" si="167"/>
        <v/>
      </c>
      <c r="F231" s="23"/>
      <c r="G231" s="23" t="str">
        <f t="shared" si="167"/>
        <v/>
      </c>
      <c r="H231" s="23" t="str">
        <f t="shared" si="167"/>
        <v/>
      </c>
      <c r="I231" s="61" t="str">
        <f t="shared" si="168"/>
        <v>TPPUBUS</v>
      </c>
      <c r="J231" s="226">
        <f t="shared" si="169"/>
        <v>15.449787242939724</v>
      </c>
      <c r="K231" s="226">
        <f t="shared" ref="K231:AW231" si="174">IF(L$226=-1,L231,IF(L$226=99,J231,IF(L$226=0,INDEX($E164:$K164,0,L$224),(INDEX($E164:$K164,0,L$226+1)-INDEX($E164:$K164,0,L$226))/(INDEX($E$160:$K$160,0,L$226+1)-INDEX($E$160:$K$160,0,L$226))+J231)))</f>
        <v>15.716524828626483</v>
      </c>
      <c r="L231" s="226">
        <f t="shared" si="174"/>
        <v>15.983262414313241</v>
      </c>
      <c r="M231" s="226">
        <f t="shared" si="174"/>
        <v>16.25</v>
      </c>
      <c r="N231" s="226">
        <f t="shared" si="174"/>
        <v>16.519303703621738</v>
      </c>
      <c r="O231" s="226">
        <f t="shared" si="174"/>
        <v>16.788607407243475</v>
      </c>
      <c r="P231" s="226">
        <f t="shared" si="174"/>
        <v>17.00900636487799</v>
      </c>
      <c r="Q231" s="226">
        <f t="shared" si="174"/>
        <v>17.229405322512505</v>
      </c>
      <c r="R231" s="226">
        <f t="shared" si="174"/>
        <v>17.449804280147024</v>
      </c>
      <c r="S231" s="226">
        <f t="shared" si="174"/>
        <v>17.936399872850444</v>
      </c>
      <c r="T231" s="226">
        <f t="shared" si="174"/>
        <v>18.422995465553868</v>
      </c>
      <c r="U231" s="226">
        <f t="shared" si="174"/>
        <v>18.909591058257291</v>
      </c>
      <c r="V231" s="226">
        <f t="shared" si="174"/>
        <v>19.396186650960715</v>
      </c>
      <c r="W231" s="226">
        <f t="shared" si="174"/>
        <v>19.882782243664138</v>
      </c>
      <c r="X231" s="226">
        <f t="shared" si="174"/>
        <v>20.369377836367562</v>
      </c>
      <c r="Y231" s="226">
        <f t="shared" si="174"/>
        <v>20.855973429070986</v>
      </c>
      <c r="Z231" s="226">
        <f t="shared" si="174"/>
        <v>21.342569021774409</v>
      </c>
      <c r="AA231" s="226">
        <f t="shared" si="174"/>
        <v>21.829164614477833</v>
      </c>
      <c r="AB231" s="226">
        <f t="shared" si="174"/>
        <v>22.315760207181242</v>
      </c>
      <c r="AC231" s="226">
        <f t="shared" si="174"/>
        <v>21.924685905037052</v>
      </c>
      <c r="AD231" s="226">
        <f t="shared" si="174"/>
        <v>21.533611602892861</v>
      </c>
      <c r="AE231" s="226">
        <f t="shared" si="174"/>
        <v>21.142537300748671</v>
      </c>
      <c r="AF231" s="226">
        <f t="shared" si="174"/>
        <v>20.751462998604481</v>
      </c>
      <c r="AG231" s="226">
        <f t="shared" si="174"/>
        <v>20.360388696460291</v>
      </c>
      <c r="AH231" s="226">
        <f t="shared" si="174"/>
        <v>19.9693143943161</v>
      </c>
      <c r="AI231" s="226">
        <f t="shared" si="174"/>
        <v>19.57824009217191</v>
      </c>
      <c r="AJ231" s="226">
        <f t="shared" si="174"/>
        <v>19.18716579002772</v>
      </c>
      <c r="AK231" s="226">
        <f t="shared" si="174"/>
        <v>18.79609148788353</v>
      </c>
      <c r="AL231" s="226">
        <f t="shared" si="174"/>
        <v>18.405017185739329</v>
      </c>
      <c r="AM231" s="226">
        <f t="shared" si="174"/>
        <v>17.844000512937427</v>
      </c>
      <c r="AN231" s="226">
        <f t="shared" si="174"/>
        <v>17.282983840135522</v>
      </c>
      <c r="AO231" s="226">
        <f t="shared" si="174"/>
        <v>16.721967167333617</v>
      </c>
      <c r="AP231" s="226">
        <f t="shared" si="174"/>
        <v>16.160950494531711</v>
      </c>
      <c r="AQ231" s="226">
        <f t="shared" si="174"/>
        <v>15.599933821729808</v>
      </c>
      <c r="AR231" s="226">
        <f t="shared" si="174"/>
        <v>15.038917148927904</v>
      </c>
      <c r="AS231" s="226">
        <f t="shared" si="174"/>
        <v>14.477900476126001</v>
      </c>
      <c r="AT231" s="226">
        <f t="shared" si="174"/>
        <v>13.916883803324097</v>
      </c>
      <c r="AU231" s="226">
        <f t="shared" si="174"/>
        <v>13.355867130522194</v>
      </c>
      <c r="AV231" s="226">
        <f t="shared" si="174"/>
        <v>12.794850457720294</v>
      </c>
      <c r="AW231" s="226">
        <f t="shared" si="174"/>
        <v>12.794850457720294</v>
      </c>
      <c r="AX231" s="226">
        <f t="shared" si="171"/>
        <v>12.794850457720294</v>
      </c>
      <c r="AZ231" s="226"/>
      <c r="BA231" s="226"/>
      <c r="BB231" s="226"/>
      <c r="BC231" s="226"/>
      <c r="BD231" s="226"/>
      <c r="BE231" s="226"/>
    </row>
    <row r="232" spans="1:58">
      <c r="A232" s="225" t="s">
        <v>16</v>
      </c>
      <c r="B232" s="22" t="str">
        <f t="shared" si="165"/>
        <v/>
      </c>
      <c r="C232" s="23" t="str">
        <f t="shared" si="166"/>
        <v/>
      </c>
      <c r="E232" s="23" t="str">
        <f t="shared" si="167"/>
        <v/>
      </c>
      <c r="F232" s="23"/>
      <c r="G232" s="23" t="str">
        <f t="shared" si="167"/>
        <v/>
      </c>
      <c r="H232" s="23" t="str">
        <f t="shared" si="167"/>
        <v/>
      </c>
      <c r="I232" s="61" t="str">
        <f t="shared" si="168"/>
        <v>TPPUMBT</v>
      </c>
      <c r="J232" s="226">
        <f t="shared" si="169"/>
        <v>98.700987095866196</v>
      </c>
      <c r="K232" s="226">
        <f t="shared" ref="K232:AW232" si="175">IF(L$226=-1,L232,IF(L$226=99,J232,IF(L$226=0,INDEX($E165:$K165,0,L$224),(INDEX($E165:$K165,0,L$226+1)-INDEX($E165:$K165,0,L$226))/(INDEX($E$160:$K$160,0,L$226+1)-INDEX($E$160:$K$160,0,L$226))+J232)))</f>
        <v>98.000658063910805</v>
      </c>
      <c r="L232" s="226">
        <f t="shared" si="175"/>
        <v>97.300329031955414</v>
      </c>
      <c r="M232" s="226">
        <f t="shared" si="175"/>
        <v>96.600000000000009</v>
      </c>
      <c r="N232" s="226">
        <f t="shared" si="175"/>
        <v>98.297871000000015</v>
      </c>
      <c r="O232" s="226">
        <f t="shared" si="175"/>
        <v>99.995742000000007</v>
      </c>
      <c r="P232" s="226">
        <f t="shared" si="175"/>
        <v>100.91263483681043</v>
      </c>
      <c r="Q232" s="226">
        <f t="shared" si="175"/>
        <v>101.82952767362085</v>
      </c>
      <c r="R232" s="226">
        <f t="shared" si="175"/>
        <v>102.74642051043128</v>
      </c>
      <c r="S232" s="226">
        <f t="shared" si="175"/>
        <v>102.80874722264738</v>
      </c>
      <c r="T232" s="226">
        <f t="shared" si="175"/>
        <v>102.87107393486349</v>
      </c>
      <c r="U232" s="226">
        <f t="shared" si="175"/>
        <v>102.93340064707959</v>
      </c>
      <c r="V232" s="226">
        <f t="shared" si="175"/>
        <v>102.9957273592957</v>
      </c>
      <c r="W232" s="226">
        <f t="shared" si="175"/>
        <v>103.0580540715118</v>
      </c>
      <c r="X232" s="226">
        <f t="shared" si="175"/>
        <v>103.12038078372791</v>
      </c>
      <c r="Y232" s="226">
        <f t="shared" si="175"/>
        <v>103.18270749594402</v>
      </c>
      <c r="Z232" s="226">
        <f t="shared" si="175"/>
        <v>103.24503420816012</v>
      </c>
      <c r="AA232" s="226">
        <f t="shared" si="175"/>
        <v>103.30736092037623</v>
      </c>
      <c r="AB232" s="226">
        <f t="shared" si="175"/>
        <v>103.3696876325923</v>
      </c>
      <c r="AC232" s="226">
        <f t="shared" si="175"/>
        <v>102.77017013502426</v>
      </c>
      <c r="AD232" s="226">
        <f t="shared" si="175"/>
        <v>102.17065263745621</v>
      </c>
      <c r="AE232" s="226">
        <f t="shared" si="175"/>
        <v>101.57113513988817</v>
      </c>
      <c r="AF232" s="226">
        <f t="shared" si="175"/>
        <v>100.97161764232013</v>
      </c>
      <c r="AG232" s="226">
        <f t="shared" si="175"/>
        <v>100.37210014475208</v>
      </c>
      <c r="AH232" s="226">
        <f t="shared" si="175"/>
        <v>99.772582647184038</v>
      </c>
      <c r="AI232" s="226">
        <f t="shared" si="175"/>
        <v>99.173065149615994</v>
      </c>
      <c r="AJ232" s="226">
        <f t="shared" si="175"/>
        <v>98.573547652047949</v>
      </c>
      <c r="AK232" s="226">
        <f t="shared" si="175"/>
        <v>97.974030154479905</v>
      </c>
      <c r="AL232" s="226">
        <f t="shared" si="175"/>
        <v>97.374512656911861</v>
      </c>
      <c r="AM232" s="226">
        <f t="shared" si="175"/>
        <v>96.648180979949558</v>
      </c>
      <c r="AN232" s="226">
        <f t="shared" si="175"/>
        <v>95.921849302987255</v>
      </c>
      <c r="AO232" s="226">
        <f t="shared" si="175"/>
        <v>95.195517626024952</v>
      </c>
      <c r="AP232" s="226">
        <f t="shared" si="175"/>
        <v>94.469185949062648</v>
      </c>
      <c r="AQ232" s="226">
        <f t="shared" si="175"/>
        <v>93.742854272100345</v>
      </c>
      <c r="AR232" s="226">
        <f t="shared" si="175"/>
        <v>93.016522595138042</v>
      </c>
      <c r="AS232" s="226">
        <f t="shared" si="175"/>
        <v>92.290190918175739</v>
      </c>
      <c r="AT232" s="226">
        <f t="shared" si="175"/>
        <v>91.563859241213436</v>
      </c>
      <c r="AU232" s="226">
        <f t="shared" si="175"/>
        <v>90.837527564251133</v>
      </c>
      <c r="AV232" s="226">
        <f t="shared" si="175"/>
        <v>90.111195887288758</v>
      </c>
      <c r="AW232" s="226">
        <f t="shared" si="175"/>
        <v>90.111195887288758</v>
      </c>
      <c r="AX232" s="226">
        <f t="shared" si="171"/>
        <v>90.111195887288758</v>
      </c>
      <c r="AZ232" s="226"/>
      <c r="BA232" s="226"/>
      <c r="BB232" s="226"/>
      <c r="BC232" s="226"/>
      <c r="BD232" s="226"/>
      <c r="BE232" s="226"/>
    </row>
    <row r="233" spans="1:58">
      <c r="A233" s="225" t="s">
        <v>16</v>
      </c>
      <c r="B233" s="22" t="str">
        <f t="shared" si="165"/>
        <v/>
      </c>
      <c r="C233" s="23" t="str">
        <f t="shared" si="166"/>
        <v/>
      </c>
      <c r="E233" s="23" t="str">
        <f t="shared" si="167"/>
        <v/>
      </c>
      <c r="F233" s="23"/>
      <c r="G233" s="23" t="str">
        <f t="shared" si="167"/>
        <v/>
      </c>
      <c r="H233" s="23" t="str">
        <f t="shared" si="167"/>
        <v/>
      </c>
      <c r="I233" s="61" t="str">
        <f t="shared" si="168"/>
        <v>TPPUBRT</v>
      </c>
      <c r="J233" s="226">
        <f t="shared" si="169"/>
        <v>0.52634845853123191</v>
      </c>
      <c r="K233" s="226">
        <f t="shared" ref="K233:AW233" si="176">IF(L$226=-1,L233,IF(L$226=99,J233,IF(L$226=0,INDEX($E166:$K166,0,L$224),(INDEX($E166:$K166,0,L$226+1)-INDEX($E166:$K166,0,L$226))/(INDEX($E$160:$K$160,0,L$226+1)-INDEX($E$160:$K$160,0,L$226))+J233)))</f>
        <v>0.53536791238540715</v>
      </c>
      <c r="L233" s="226">
        <f t="shared" si="176"/>
        <v>0.54438736623958239</v>
      </c>
      <c r="M233" s="226">
        <f t="shared" si="176"/>
        <v>0.55340682009375775</v>
      </c>
      <c r="N233" s="226">
        <f t="shared" si="176"/>
        <v>0.56311159469628369</v>
      </c>
      <c r="O233" s="226">
        <f t="shared" si="176"/>
        <v>0.57281636929880952</v>
      </c>
      <c r="P233" s="226">
        <f t="shared" si="176"/>
        <v>2.2069492620325395</v>
      </c>
      <c r="Q233" s="226">
        <f t="shared" si="176"/>
        <v>3.8410821547662692</v>
      </c>
      <c r="R233" s="226">
        <f t="shared" si="176"/>
        <v>5.475215047499999</v>
      </c>
      <c r="S233" s="226">
        <f t="shared" si="176"/>
        <v>6.2793580271839682</v>
      </c>
      <c r="T233" s="226">
        <f t="shared" si="176"/>
        <v>7.0835010068679374</v>
      </c>
      <c r="U233" s="226">
        <f t="shared" si="176"/>
        <v>7.8876439865519066</v>
      </c>
      <c r="V233" s="226">
        <f t="shared" si="176"/>
        <v>8.6917869662358758</v>
      </c>
      <c r="W233" s="226">
        <f t="shared" si="176"/>
        <v>9.4959299459198458</v>
      </c>
      <c r="X233" s="226">
        <f t="shared" si="176"/>
        <v>10.300072925603816</v>
      </c>
      <c r="Y233" s="226">
        <f t="shared" si="176"/>
        <v>11.104215905287786</v>
      </c>
      <c r="Z233" s="226">
        <f t="shared" si="176"/>
        <v>11.908358884971756</v>
      </c>
      <c r="AA233" s="226">
        <f t="shared" si="176"/>
        <v>12.712501864655726</v>
      </c>
      <c r="AB233" s="226">
        <f t="shared" si="176"/>
        <v>13.516644844339694</v>
      </c>
      <c r="AC233" s="226">
        <f t="shared" si="176"/>
        <v>14.758955957305583</v>
      </c>
      <c r="AD233" s="226">
        <f t="shared" si="176"/>
        <v>16.001267070271471</v>
      </c>
      <c r="AE233" s="226">
        <f t="shared" si="176"/>
        <v>17.243578183237361</v>
      </c>
      <c r="AF233" s="226">
        <f t="shared" si="176"/>
        <v>18.485889296203251</v>
      </c>
      <c r="AG233" s="226">
        <f t="shared" si="176"/>
        <v>19.728200409169141</v>
      </c>
      <c r="AH233" s="226">
        <f t="shared" si="176"/>
        <v>20.97051152213503</v>
      </c>
      <c r="AI233" s="226">
        <f t="shared" si="176"/>
        <v>22.21282263510092</v>
      </c>
      <c r="AJ233" s="226">
        <f t="shared" si="176"/>
        <v>23.45513374806681</v>
      </c>
      <c r="AK233" s="226">
        <f t="shared" si="176"/>
        <v>24.6974448610327</v>
      </c>
      <c r="AL233" s="226">
        <f t="shared" si="176"/>
        <v>25.939755973998579</v>
      </c>
      <c r="AM233" s="226">
        <f t="shared" si="176"/>
        <v>27.217788109481166</v>
      </c>
      <c r="AN233" s="226">
        <f t="shared" si="176"/>
        <v>28.495820244963753</v>
      </c>
      <c r="AO233" s="226">
        <f t="shared" si="176"/>
        <v>29.773852380446339</v>
      </c>
      <c r="AP233" s="226">
        <f t="shared" si="176"/>
        <v>31.051884515928926</v>
      </c>
      <c r="AQ233" s="226">
        <f t="shared" si="176"/>
        <v>32.329916651411509</v>
      </c>
      <c r="AR233" s="226">
        <f t="shared" si="176"/>
        <v>33.607948786894099</v>
      </c>
      <c r="AS233" s="226">
        <f t="shared" si="176"/>
        <v>34.885980922376689</v>
      </c>
      <c r="AT233" s="226">
        <f t="shared" si="176"/>
        <v>36.164013057859279</v>
      </c>
      <c r="AU233" s="226">
        <f t="shared" si="176"/>
        <v>37.442045193341869</v>
      </c>
      <c r="AV233" s="226">
        <f t="shared" si="176"/>
        <v>38.720077328824445</v>
      </c>
      <c r="AW233" s="226">
        <f t="shared" si="176"/>
        <v>38.720077328824445</v>
      </c>
      <c r="AX233" s="226">
        <f t="shared" si="171"/>
        <v>38.720077328824445</v>
      </c>
      <c r="AZ233" s="226"/>
      <c r="BA233" s="226"/>
      <c r="BB233" s="226"/>
      <c r="BC233" s="226"/>
      <c r="BD233" s="226"/>
      <c r="BE233" s="226"/>
    </row>
    <row r="234" spans="1:58">
      <c r="A234" s="225" t="s">
        <v>16</v>
      </c>
      <c r="B234" s="22"/>
      <c r="C234" s="23"/>
      <c r="E234" s="23"/>
      <c r="F234" s="23"/>
      <c r="G234" s="23"/>
      <c r="H234" s="23"/>
      <c r="I234" s="61" t="str">
        <f t="shared" si="168"/>
        <v>TPPUMER</v>
      </c>
      <c r="J234" s="226">
        <f t="shared" si="169"/>
        <v>17.142728190682369</v>
      </c>
      <c r="K234" s="226">
        <f t="shared" ref="K234:AW234" si="177">IF(L$226=-1,L234,IF(L$226=99,J234,IF(L$226=0,INDEX($E167:$K167,0,L$224),(INDEX($E167:$K167,0,L$226+1)-INDEX($E167:$K167,0,L$226))/(INDEX($E$160:$K$160,0,L$226+1)-INDEX($E$160:$K$160,0,L$226))+J234)))</f>
        <v>17.201297447162645</v>
      </c>
      <c r="L234" s="226">
        <f t="shared" si="177"/>
        <v>17.259866703642921</v>
      </c>
      <c r="M234" s="226">
        <f t="shared" si="177"/>
        <v>17.318435960123196</v>
      </c>
      <c r="N234" s="226">
        <f t="shared" si="177"/>
        <v>17.43681911962635</v>
      </c>
      <c r="O234" s="226">
        <f t="shared" si="177"/>
        <v>17.555202279129503</v>
      </c>
      <c r="P234" s="226">
        <f t="shared" si="177"/>
        <v>17.651919196899122</v>
      </c>
      <c r="Q234" s="226">
        <f t="shared" si="177"/>
        <v>17.748636114668741</v>
      </c>
      <c r="R234" s="226">
        <f t="shared" si="177"/>
        <v>17.845353032438364</v>
      </c>
      <c r="S234" s="226">
        <f t="shared" si="177"/>
        <v>17.380167734142425</v>
      </c>
      <c r="T234" s="226">
        <f t="shared" si="177"/>
        <v>16.91498243584649</v>
      </c>
      <c r="U234" s="226">
        <f t="shared" si="177"/>
        <v>16.449797137550554</v>
      </c>
      <c r="V234" s="226">
        <f t="shared" si="177"/>
        <v>15.984611839254617</v>
      </c>
      <c r="W234" s="226">
        <f t="shared" si="177"/>
        <v>15.51942654095868</v>
      </c>
      <c r="X234" s="226">
        <f t="shared" si="177"/>
        <v>15.054241242662743</v>
      </c>
      <c r="Y234" s="226">
        <f t="shared" si="177"/>
        <v>14.589055944366805</v>
      </c>
      <c r="Z234" s="226">
        <f t="shared" si="177"/>
        <v>14.123870646070868</v>
      </c>
      <c r="AA234" s="226">
        <f t="shared" si="177"/>
        <v>13.658685347774931</v>
      </c>
      <c r="AB234" s="226">
        <f t="shared" si="177"/>
        <v>13.193500049478992</v>
      </c>
      <c r="AC234" s="226">
        <f t="shared" si="177"/>
        <v>13.378629810848029</v>
      </c>
      <c r="AD234" s="226">
        <f t="shared" si="177"/>
        <v>13.563759572217066</v>
      </c>
      <c r="AE234" s="226">
        <f t="shared" si="177"/>
        <v>13.748889333586103</v>
      </c>
      <c r="AF234" s="226">
        <f t="shared" si="177"/>
        <v>13.93401909495514</v>
      </c>
      <c r="AG234" s="226">
        <f t="shared" si="177"/>
        <v>14.119148856324177</v>
      </c>
      <c r="AH234" s="226">
        <f t="shared" si="177"/>
        <v>14.304278617693214</v>
      </c>
      <c r="AI234" s="226">
        <f t="shared" si="177"/>
        <v>14.489408379062251</v>
      </c>
      <c r="AJ234" s="226">
        <f t="shared" si="177"/>
        <v>14.674538140431288</v>
      </c>
      <c r="AK234" s="226">
        <f t="shared" si="177"/>
        <v>14.859667901800325</v>
      </c>
      <c r="AL234" s="226">
        <f t="shared" si="177"/>
        <v>15.044797663169364</v>
      </c>
      <c r="AM234" s="226">
        <f t="shared" si="177"/>
        <v>15.356306949999645</v>
      </c>
      <c r="AN234" s="226">
        <f t="shared" si="177"/>
        <v>15.667816236829927</v>
      </c>
      <c r="AO234" s="226">
        <f t="shared" si="177"/>
        <v>15.979325523660208</v>
      </c>
      <c r="AP234" s="226">
        <f t="shared" si="177"/>
        <v>16.290834810490491</v>
      </c>
      <c r="AQ234" s="226">
        <f t="shared" si="177"/>
        <v>16.602344097320774</v>
      </c>
      <c r="AR234" s="226">
        <f t="shared" si="177"/>
        <v>16.913853384151057</v>
      </c>
      <c r="AS234" s="226">
        <f t="shared" si="177"/>
        <v>17.22536267098134</v>
      </c>
      <c r="AT234" s="226">
        <f t="shared" si="177"/>
        <v>17.536871957811623</v>
      </c>
      <c r="AU234" s="226">
        <f t="shared" si="177"/>
        <v>17.848381244641907</v>
      </c>
      <c r="AV234" s="226">
        <f t="shared" si="177"/>
        <v>18.159890531472183</v>
      </c>
      <c r="AW234" s="226">
        <f t="shared" si="177"/>
        <v>18.159890531472183</v>
      </c>
      <c r="AX234" s="226">
        <f t="shared" si="171"/>
        <v>18.159890531472183</v>
      </c>
      <c r="AZ234" s="226"/>
      <c r="BA234" s="226"/>
      <c r="BB234" s="226"/>
      <c r="BC234" s="226"/>
      <c r="BD234" s="226"/>
      <c r="BE234" s="226"/>
    </row>
    <row r="235" spans="1:58">
      <c r="A235" s="225" t="s">
        <v>16</v>
      </c>
      <c r="B235" s="22"/>
      <c r="C235" s="23"/>
      <c r="E235" s="23"/>
      <c r="F235" s="23"/>
      <c r="G235" s="23"/>
      <c r="H235" s="23"/>
      <c r="I235" s="61" t="str">
        <f t="shared" si="168"/>
        <v>TPPUGAT</v>
      </c>
      <c r="J235" s="226">
        <f t="shared" si="169"/>
        <v>0.54174365358593757</v>
      </c>
      <c r="K235" s="226">
        <f t="shared" ref="K235:AW235" si="178">IF(L$226=-1,L235,IF(L$226=99,J235,IF(L$226=0,INDEX($E168:$K168,0,L$224),(INDEX($E168:$K168,0,L$226+1)-INDEX($E168:$K168,0,L$226))/(INDEX($E$160:$K$160,0,L$226+1)-INDEX($E$160:$K$160,0,L$226))+J235)))</f>
        <v>0.55636438726329929</v>
      </c>
      <c r="L235" s="226">
        <f t="shared" si="178"/>
        <v>0.57098512094066101</v>
      </c>
      <c r="M235" s="226">
        <f t="shared" si="178"/>
        <v>0.58560585461802261</v>
      </c>
      <c r="N235" s="226">
        <f t="shared" si="178"/>
        <v>0.59979525964270741</v>
      </c>
      <c r="O235" s="226">
        <f t="shared" si="178"/>
        <v>0.6139846646673921</v>
      </c>
      <c r="P235" s="226">
        <f t="shared" si="178"/>
        <v>0.61115250823634748</v>
      </c>
      <c r="Q235" s="226">
        <f t="shared" si="178"/>
        <v>0.60832035180530286</v>
      </c>
      <c r="R235" s="226">
        <f t="shared" si="178"/>
        <v>0.60548819537425813</v>
      </c>
      <c r="S235" s="226">
        <f t="shared" si="178"/>
        <v>0.62173986975447038</v>
      </c>
      <c r="T235" s="226">
        <f t="shared" si="178"/>
        <v>0.63799154413468262</v>
      </c>
      <c r="U235" s="226">
        <f t="shared" si="178"/>
        <v>0.65424321851489486</v>
      </c>
      <c r="V235" s="226">
        <f t="shared" si="178"/>
        <v>0.67049489289510711</v>
      </c>
      <c r="W235" s="226">
        <f t="shared" si="178"/>
        <v>0.68674656727531935</v>
      </c>
      <c r="X235" s="226">
        <f t="shared" si="178"/>
        <v>0.7029982416555316</v>
      </c>
      <c r="Y235" s="226">
        <f t="shared" si="178"/>
        <v>0.71924991603574384</v>
      </c>
      <c r="Z235" s="226">
        <f t="shared" si="178"/>
        <v>0.73550159041595609</v>
      </c>
      <c r="AA235" s="226">
        <f t="shared" si="178"/>
        <v>0.75175326479616833</v>
      </c>
      <c r="AB235" s="226">
        <f t="shared" si="178"/>
        <v>0.76800493917638013</v>
      </c>
      <c r="AC235" s="226">
        <f t="shared" si="178"/>
        <v>0.79117632042838004</v>
      </c>
      <c r="AD235" s="226">
        <f t="shared" si="178"/>
        <v>0.81434770168037995</v>
      </c>
      <c r="AE235" s="226">
        <f t="shared" si="178"/>
        <v>0.83751908293237987</v>
      </c>
      <c r="AF235" s="226">
        <f t="shared" si="178"/>
        <v>0.86069046418437978</v>
      </c>
      <c r="AG235" s="226">
        <f t="shared" si="178"/>
        <v>0.88386184543637969</v>
      </c>
      <c r="AH235" s="226">
        <f t="shared" si="178"/>
        <v>0.9070332266883796</v>
      </c>
      <c r="AI235" s="226">
        <f t="shared" si="178"/>
        <v>0.93020460794037951</v>
      </c>
      <c r="AJ235" s="226">
        <f t="shared" si="178"/>
        <v>0.95337598919237942</v>
      </c>
      <c r="AK235" s="226">
        <f t="shared" si="178"/>
        <v>0.97654737044437934</v>
      </c>
      <c r="AL235" s="226">
        <f t="shared" si="178"/>
        <v>0.99971875169637903</v>
      </c>
      <c r="AM235" s="226">
        <f t="shared" si="178"/>
        <v>1.0254218029341191</v>
      </c>
      <c r="AN235" s="226">
        <f t="shared" si="178"/>
        <v>1.0511248541718592</v>
      </c>
      <c r="AO235" s="226">
        <f t="shared" si="178"/>
        <v>1.0768279054095993</v>
      </c>
      <c r="AP235" s="226">
        <f t="shared" si="178"/>
        <v>1.1025309566473394</v>
      </c>
      <c r="AQ235" s="226">
        <f t="shared" si="178"/>
        <v>1.1282340078850794</v>
      </c>
      <c r="AR235" s="226">
        <f t="shared" si="178"/>
        <v>1.1539370591228195</v>
      </c>
      <c r="AS235" s="226">
        <f t="shared" si="178"/>
        <v>1.1796401103605596</v>
      </c>
      <c r="AT235" s="226">
        <f t="shared" si="178"/>
        <v>1.2053431615982997</v>
      </c>
      <c r="AU235" s="226">
        <f t="shared" si="178"/>
        <v>1.2310462128360398</v>
      </c>
      <c r="AV235" s="226">
        <f t="shared" si="178"/>
        <v>1.2567492640737796</v>
      </c>
      <c r="AW235" s="226">
        <f t="shared" si="178"/>
        <v>1.2567492640737796</v>
      </c>
      <c r="AX235" s="226">
        <f t="shared" si="171"/>
        <v>1.2567492640737796</v>
      </c>
      <c r="AZ235" s="226"/>
      <c r="BA235" s="226"/>
      <c r="BB235" s="226"/>
      <c r="BC235" s="226"/>
      <c r="BD235" s="226"/>
      <c r="BE235" s="226"/>
    </row>
    <row r="236" spans="1:58">
      <c r="B236" s="22"/>
      <c r="C236" s="23"/>
      <c r="E236" s="23"/>
      <c r="F236" s="23"/>
      <c r="G236" s="23"/>
      <c r="H236" s="23"/>
      <c r="I236" s="23"/>
      <c r="J236" s="23"/>
      <c r="K236" s="61"/>
      <c r="L236" s="226"/>
      <c r="M236" s="226"/>
      <c r="N236" s="226"/>
      <c r="O236" s="226"/>
      <c r="P236" s="226"/>
      <c r="Q236" s="226"/>
      <c r="R236" s="226"/>
      <c r="S236" s="226"/>
      <c r="T236" s="226"/>
      <c r="U236" s="226"/>
      <c r="V236" s="226"/>
      <c r="W236" s="226"/>
      <c r="X236" s="226"/>
      <c r="Y236" s="226"/>
      <c r="Z236" s="226"/>
      <c r="AA236" s="226"/>
      <c r="AB236" s="226"/>
      <c r="AC236" s="226"/>
      <c r="AD236" s="226"/>
      <c r="AE236" s="226"/>
      <c r="AF236" s="226"/>
      <c r="AG236" s="226"/>
      <c r="AH236" s="226"/>
      <c r="AI236" s="226"/>
      <c r="AJ236" s="226"/>
      <c r="AK236" s="226"/>
      <c r="AL236" s="226"/>
      <c r="AM236" s="226"/>
      <c r="AN236" s="226"/>
      <c r="AO236" s="226"/>
      <c r="AP236" s="226"/>
      <c r="AQ236" s="226"/>
      <c r="AR236" s="226"/>
      <c r="AS236" s="226"/>
      <c r="AT236" s="226"/>
      <c r="AU236" s="226"/>
      <c r="AV236" s="226"/>
      <c r="AW236" s="226"/>
      <c r="AX236" s="226"/>
    </row>
    <row r="237" spans="1:58">
      <c r="B237" s="22"/>
      <c r="C237" s="23"/>
      <c r="E237" s="23"/>
      <c r="F237" s="23"/>
      <c r="G237" s="23"/>
      <c r="H237" s="23"/>
      <c r="I237" s="23"/>
      <c r="J237" s="23"/>
      <c r="K237" s="61"/>
      <c r="L237" s="226"/>
      <c r="M237" s="226"/>
      <c r="N237" s="226"/>
      <c r="O237" s="226"/>
      <c r="P237" s="226"/>
      <c r="Q237" s="226"/>
      <c r="R237" s="226"/>
      <c r="S237" s="226"/>
      <c r="T237" s="226"/>
      <c r="U237" s="226"/>
      <c r="V237" s="226"/>
      <c r="W237" s="226"/>
      <c r="X237" s="226"/>
      <c r="Y237" s="226"/>
      <c r="Z237" s="226"/>
      <c r="AA237" s="226"/>
      <c r="AB237" s="226"/>
      <c r="AC237" s="226"/>
      <c r="AD237" s="226"/>
      <c r="AE237" s="226"/>
      <c r="AF237" s="226"/>
      <c r="AG237" s="226"/>
      <c r="AH237" s="226"/>
      <c r="AI237" s="226"/>
      <c r="AJ237" s="226"/>
      <c r="AK237" s="226"/>
      <c r="AL237" s="226"/>
      <c r="AM237" s="226"/>
      <c r="AN237" s="226"/>
      <c r="AO237" s="226"/>
      <c r="AP237" s="226"/>
      <c r="AQ237" s="226"/>
      <c r="AR237" s="226"/>
      <c r="AS237" s="226"/>
      <c r="AT237" s="226"/>
      <c r="AU237" s="226"/>
      <c r="AV237" s="226"/>
      <c r="AW237" s="226"/>
      <c r="AX237" s="226"/>
    </row>
    <row r="238" spans="1:58">
      <c r="B238" s="22"/>
      <c r="C238" s="23"/>
      <c r="E238" s="23"/>
      <c r="F238" s="23"/>
      <c r="G238" s="23"/>
      <c r="H238" s="23"/>
      <c r="I238" s="23"/>
      <c r="J238" s="23"/>
      <c r="K238" s="61"/>
      <c r="L238" s="226"/>
      <c r="M238" s="226"/>
      <c r="N238" s="226"/>
      <c r="O238" s="226"/>
      <c r="P238" s="226"/>
      <c r="Q238" s="226"/>
      <c r="R238" s="226"/>
      <c r="S238" s="226"/>
      <c r="T238" s="226"/>
      <c r="U238" s="226"/>
      <c r="V238" s="226"/>
      <c r="W238" s="226"/>
      <c r="X238" s="226"/>
      <c r="Y238" s="226"/>
      <c r="Z238" s="226"/>
      <c r="AA238" s="226"/>
      <c r="AB238" s="226"/>
      <c r="AC238" s="226"/>
      <c r="AD238" s="226"/>
      <c r="AE238" s="226"/>
      <c r="AF238" s="226"/>
      <c r="AG238" s="226"/>
      <c r="AH238" s="226"/>
      <c r="AI238" s="226"/>
      <c r="AJ238" s="226"/>
      <c r="AK238" s="226"/>
      <c r="AL238" s="226"/>
      <c r="AM238" s="226"/>
      <c r="AN238" s="226"/>
      <c r="AO238" s="226"/>
      <c r="AP238" s="226"/>
      <c r="AQ238" s="226"/>
      <c r="AR238" s="226"/>
      <c r="AS238" s="226"/>
      <c r="AT238" s="226"/>
      <c r="AU238" s="226"/>
      <c r="AV238" s="226"/>
      <c r="AW238" s="226"/>
      <c r="AX238" s="226"/>
    </row>
    <row r="239" spans="1:58">
      <c r="B239" s="22"/>
      <c r="C239" s="23"/>
      <c r="E239" s="23"/>
      <c r="F239" s="23"/>
      <c r="G239" s="23"/>
      <c r="H239" s="23"/>
      <c r="I239" s="23"/>
      <c r="J239" s="23"/>
      <c r="K239" s="61"/>
      <c r="L239" s="226"/>
      <c r="M239" s="226"/>
      <c r="N239" s="226"/>
      <c r="O239" s="226"/>
      <c r="P239" s="226"/>
      <c r="Q239" s="226"/>
      <c r="R239" s="226"/>
      <c r="S239" s="226"/>
      <c r="T239" s="226"/>
      <c r="U239" s="226"/>
      <c r="V239" s="226"/>
      <c r="W239" s="226"/>
      <c r="X239" s="226"/>
      <c r="Y239" s="226"/>
      <c r="Z239" s="226"/>
      <c r="AA239" s="226"/>
      <c r="AB239" s="226"/>
      <c r="AC239" s="226"/>
      <c r="AD239" s="226"/>
      <c r="AE239" s="226"/>
      <c r="AF239" s="226"/>
      <c r="AG239" s="226"/>
      <c r="AH239" s="226"/>
      <c r="AI239" s="226"/>
      <c r="AJ239" s="226"/>
      <c r="AK239" s="226"/>
      <c r="AL239" s="226"/>
      <c r="AM239" s="226"/>
      <c r="AN239" s="226"/>
      <c r="AO239" s="226"/>
      <c r="AP239" s="226"/>
      <c r="AQ239" s="226"/>
      <c r="AR239" s="226"/>
      <c r="AS239" s="226"/>
      <c r="AT239" s="226"/>
      <c r="AU239" s="226"/>
      <c r="AV239" s="226"/>
      <c r="AW239" s="226"/>
      <c r="AX239" s="226"/>
    </row>
    <row r="240" spans="1:58">
      <c r="B240" s="22"/>
      <c r="C240" s="23"/>
      <c r="E240" s="23"/>
      <c r="F240" s="23"/>
      <c r="G240" s="23"/>
      <c r="H240" s="23"/>
      <c r="I240" s="23"/>
      <c r="J240" s="23"/>
      <c r="K240" s="61"/>
      <c r="L240" s="226"/>
      <c r="M240" s="226"/>
      <c r="N240" s="226"/>
      <c r="O240" s="226"/>
      <c r="P240" s="226"/>
      <c r="Q240" s="226"/>
      <c r="R240" s="226"/>
      <c r="S240" s="226"/>
      <c r="T240" s="226"/>
      <c r="U240" s="226"/>
      <c r="V240" s="226"/>
      <c r="W240" s="226"/>
      <c r="X240" s="226"/>
      <c r="Y240" s="226"/>
      <c r="Z240" s="226"/>
      <c r="AA240" s="226"/>
      <c r="AB240" s="226"/>
      <c r="AC240" s="226"/>
      <c r="AD240" s="226"/>
      <c r="AE240" s="226"/>
      <c r="AF240" s="226"/>
      <c r="AG240" s="226"/>
      <c r="AH240" s="226"/>
      <c r="AI240" s="226"/>
      <c r="AJ240" s="226"/>
      <c r="AK240" s="226"/>
      <c r="AL240" s="226"/>
      <c r="AM240" s="226"/>
      <c r="AN240" s="226"/>
      <c r="AO240" s="226"/>
      <c r="AP240" s="226"/>
      <c r="AQ240" s="226"/>
      <c r="AR240" s="226"/>
      <c r="AS240" s="226"/>
      <c r="AT240" s="226"/>
      <c r="AU240" s="226"/>
      <c r="AV240" s="226"/>
      <c r="AW240" s="226"/>
      <c r="AX240" s="226"/>
    </row>
    <row r="241" spans="1:58">
      <c r="B241" s="22"/>
      <c r="C241" s="23"/>
      <c r="E241" s="23"/>
      <c r="F241" s="23"/>
      <c r="G241" s="23"/>
      <c r="H241" s="23"/>
      <c r="I241" s="23"/>
      <c r="J241" s="23"/>
      <c r="K241" s="61"/>
      <c r="L241" s="226"/>
      <c r="M241" s="226"/>
      <c r="N241" s="226"/>
      <c r="O241" s="226"/>
      <c r="P241" s="226"/>
      <c r="Q241" s="226"/>
      <c r="R241" s="226"/>
      <c r="S241" s="226"/>
      <c r="T241" s="226"/>
      <c r="U241" s="226"/>
      <c r="V241" s="226"/>
      <c r="W241" s="226"/>
      <c r="X241" s="226"/>
      <c r="Y241" s="226"/>
      <c r="Z241" s="226"/>
      <c r="AA241" s="226"/>
      <c r="AB241" s="226"/>
      <c r="AC241" s="226"/>
      <c r="AD241" s="226"/>
      <c r="AE241" s="226"/>
      <c r="AF241" s="226"/>
      <c r="AG241" s="226"/>
      <c r="AH241" s="226"/>
      <c r="AI241" s="226"/>
      <c r="AJ241" s="226"/>
      <c r="AK241" s="226"/>
      <c r="AL241" s="226"/>
      <c r="AM241" s="226"/>
      <c r="AN241" s="226"/>
      <c r="AO241" s="226"/>
      <c r="AP241" s="226"/>
      <c r="AQ241" s="226"/>
      <c r="AR241" s="226"/>
      <c r="AS241" s="226"/>
      <c r="AT241" s="226"/>
      <c r="AU241" s="226"/>
      <c r="AV241" s="226"/>
      <c r="AW241" s="226"/>
      <c r="AX241" s="226"/>
    </row>
    <row r="242" spans="1:58">
      <c r="B242" s="22"/>
      <c r="C242" s="23"/>
      <c r="E242" s="23"/>
      <c r="F242" s="23"/>
      <c r="G242" s="23"/>
      <c r="H242" s="23"/>
      <c r="I242" s="23"/>
      <c r="J242" s="23"/>
      <c r="K242" s="61"/>
      <c r="L242" s="226"/>
      <c r="M242" s="226"/>
      <c r="N242" s="226"/>
      <c r="O242" s="226"/>
      <c r="P242" s="226"/>
      <c r="Q242" s="226"/>
      <c r="R242" s="226"/>
      <c r="S242" s="226"/>
      <c r="T242" s="226"/>
      <c r="U242" s="226"/>
      <c r="V242" s="226"/>
      <c r="W242" s="226"/>
      <c r="X242" s="226"/>
      <c r="Y242" s="226"/>
      <c r="Z242" s="226"/>
      <c r="AA242" s="226"/>
      <c r="AB242" s="226"/>
      <c r="AC242" s="226"/>
      <c r="AD242" s="226"/>
      <c r="AE242" s="226"/>
      <c r="AF242" s="226"/>
      <c r="AG242" s="226"/>
      <c r="AH242" s="226"/>
      <c r="AI242" s="226"/>
      <c r="AJ242" s="226"/>
      <c r="AK242" s="226"/>
      <c r="AL242" s="226"/>
      <c r="AM242" s="226"/>
      <c r="AN242" s="226"/>
      <c r="AO242" s="226"/>
      <c r="AP242" s="226"/>
      <c r="AQ242" s="226"/>
      <c r="AR242" s="226"/>
      <c r="AS242" s="226"/>
      <c r="AT242" s="226"/>
      <c r="AU242" s="226"/>
      <c r="AV242" s="226"/>
      <c r="AW242" s="226"/>
      <c r="AX242" s="226"/>
    </row>
    <row r="243" spans="1:58">
      <c r="A243" s="225" t="s">
        <v>16</v>
      </c>
      <c r="L243" s="225"/>
      <c r="M243" s="41"/>
    </row>
    <row r="244" spans="1:58">
      <c r="A244" s="225" t="s">
        <v>16</v>
      </c>
      <c r="C244" s="225">
        <f>C223</f>
        <v>1</v>
      </c>
      <c r="D244" s="225">
        <v>2012</v>
      </c>
      <c r="E244" s="225">
        <f>E223</f>
        <v>2015</v>
      </c>
      <c r="F244" s="225">
        <v>2017</v>
      </c>
      <c r="G244" s="225">
        <f>G223</f>
        <v>2020</v>
      </c>
      <c r="H244" s="225">
        <f>H223</f>
        <v>2030</v>
      </c>
      <c r="I244" s="225">
        <f t="shared" ref="I244:J244" si="179">I223</f>
        <v>2040</v>
      </c>
      <c r="J244" s="225">
        <f t="shared" si="179"/>
        <v>2050</v>
      </c>
      <c r="K244" s="225">
        <f>J223</f>
        <v>2050</v>
      </c>
      <c r="L244" s="136">
        <f>MATCH(J$254,$D$244:$K$244,$C244)</f>
        <v>1</v>
      </c>
      <c r="M244" s="231">
        <f t="shared" ref="M244:V245" si="180">MATCH(K$227,$D$223:$J$223,$C244)</f>
        <v>1</v>
      </c>
      <c r="N244" s="231">
        <f t="shared" si="180"/>
        <v>1</v>
      </c>
      <c r="O244" s="231">
        <f t="shared" si="180"/>
        <v>2</v>
      </c>
      <c r="P244" s="231">
        <f t="shared" si="180"/>
        <v>2</v>
      </c>
      <c r="Q244" s="231">
        <f t="shared" si="180"/>
        <v>3</v>
      </c>
      <c r="R244" s="231">
        <f t="shared" si="180"/>
        <v>3</v>
      </c>
      <c r="S244" s="231">
        <f t="shared" si="180"/>
        <v>3</v>
      </c>
      <c r="T244" s="231">
        <f t="shared" si="180"/>
        <v>4</v>
      </c>
      <c r="U244" s="231">
        <f t="shared" si="180"/>
        <v>4</v>
      </c>
      <c r="V244" s="231">
        <f t="shared" si="180"/>
        <v>4</v>
      </c>
      <c r="W244" s="231">
        <f t="shared" ref="W244:AF245" si="181">MATCH(U$227,$D$223:$J$223,$C244)</f>
        <v>4</v>
      </c>
      <c r="X244" s="231">
        <f t="shared" si="181"/>
        <v>4</v>
      </c>
      <c r="Y244" s="231">
        <f t="shared" si="181"/>
        <v>4</v>
      </c>
      <c r="Z244" s="231">
        <f t="shared" si="181"/>
        <v>4</v>
      </c>
      <c r="AA244" s="231">
        <f t="shared" si="181"/>
        <v>4</v>
      </c>
      <c r="AB244" s="231">
        <f t="shared" si="181"/>
        <v>4</v>
      </c>
      <c r="AC244" s="231">
        <f t="shared" si="181"/>
        <v>4</v>
      </c>
      <c r="AD244" s="231">
        <f t="shared" si="181"/>
        <v>5</v>
      </c>
      <c r="AE244" s="231">
        <f t="shared" si="181"/>
        <v>5</v>
      </c>
      <c r="AF244" s="231">
        <f t="shared" si="181"/>
        <v>5</v>
      </c>
      <c r="AG244" s="231">
        <f t="shared" ref="AG244:AP245" si="182">MATCH(AE$227,$D$223:$J$223,$C244)</f>
        <v>5</v>
      </c>
      <c r="AH244" s="231">
        <f t="shared" si="182"/>
        <v>5</v>
      </c>
      <c r="AI244" s="231">
        <f t="shared" si="182"/>
        <v>5</v>
      </c>
      <c r="AJ244" s="231">
        <f t="shared" si="182"/>
        <v>5</v>
      </c>
      <c r="AK244" s="231">
        <f t="shared" si="182"/>
        <v>5</v>
      </c>
      <c r="AL244" s="231">
        <f t="shared" si="182"/>
        <v>5</v>
      </c>
      <c r="AM244" s="231">
        <f t="shared" si="182"/>
        <v>5</v>
      </c>
      <c r="AN244" s="231">
        <f t="shared" si="182"/>
        <v>6</v>
      </c>
      <c r="AO244" s="231">
        <f t="shared" si="182"/>
        <v>6</v>
      </c>
      <c r="AP244" s="231">
        <f t="shared" si="182"/>
        <v>6</v>
      </c>
      <c r="AQ244" s="231">
        <f t="shared" ref="AQ244:AR245" si="183">MATCH(AO$227,$D$223:$J$223,$C244)</f>
        <v>6</v>
      </c>
      <c r="AR244" s="231">
        <f t="shared" si="183"/>
        <v>6</v>
      </c>
      <c r="AS244" s="231">
        <f t="shared" ref="AS244:BF245" si="184">MATCH(AQ$254,$D$223:$J$223,$C244)</f>
        <v>6</v>
      </c>
      <c r="AT244" s="231">
        <f t="shared" si="184"/>
        <v>6</v>
      </c>
      <c r="AU244" s="231">
        <f t="shared" si="184"/>
        <v>6</v>
      </c>
      <c r="AV244" s="231">
        <f t="shared" si="184"/>
        <v>6</v>
      </c>
      <c r="AW244" s="231">
        <f t="shared" si="184"/>
        <v>6</v>
      </c>
      <c r="AX244" s="231">
        <f t="shared" si="184"/>
        <v>7</v>
      </c>
      <c r="AY244" s="231">
        <f t="shared" si="184"/>
        <v>7</v>
      </c>
      <c r="AZ244" s="231">
        <f t="shared" si="184"/>
        <v>7</v>
      </c>
      <c r="BA244" s="231">
        <f t="shared" si="184"/>
        <v>7</v>
      </c>
      <c r="BB244" s="231">
        <f t="shared" si="184"/>
        <v>7</v>
      </c>
      <c r="BC244" s="231">
        <f t="shared" si="184"/>
        <v>7</v>
      </c>
      <c r="BD244" s="231">
        <f t="shared" si="184"/>
        <v>7</v>
      </c>
      <c r="BE244" s="231">
        <f t="shared" si="184"/>
        <v>7</v>
      </c>
      <c r="BF244" s="231">
        <f t="shared" si="184"/>
        <v>7</v>
      </c>
    </row>
    <row r="245" spans="1:58">
      <c r="A245" s="225" t="s">
        <v>16</v>
      </c>
      <c r="C245" s="225">
        <f>C224</f>
        <v>0</v>
      </c>
      <c r="D245" s="225">
        <f t="shared" ref="D245:J246" si="185">D224</f>
        <v>2050</v>
      </c>
      <c r="E245" s="225">
        <f t="shared" si="185"/>
        <v>2040</v>
      </c>
      <c r="F245" s="225">
        <f t="shared" si="185"/>
        <v>2030</v>
      </c>
      <c r="G245" s="225">
        <f t="shared" si="185"/>
        <v>2020</v>
      </c>
      <c r="H245" s="225">
        <f t="shared" si="185"/>
        <v>2017</v>
      </c>
      <c r="I245" s="225">
        <f t="shared" si="185"/>
        <v>2015</v>
      </c>
      <c r="J245" s="225">
        <f t="shared" si="185"/>
        <v>2006</v>
      </c>
      <c r="K245" s="225">
        <v>2012</v>
      </c>
      <c r="L245" s="41">
        <f>MATCH(J$254,$D$244:$K$244,$C245)</f>
        <v>1</v>
      </c>
      <c r="M245" s="225" t="e">
        <f t="shared" si="180"/>
        <v>#N/A</v>
      </c>
      <c r="N245" s="225" t="e">
        <f t="shared" si="180"/>
        <v>#N/A</v>
      </c>
      <c r="O245" s="225">
        <f t="shared" si="180"/>
        <v>2</v>
      </c>
      <c r="P245" s="225" t="e">
        <f t="shared" si="180"/>
        <v>#N/A</v>
      </c>
      <c r="Q245" s="225">
        <f t="shared" si="180"/>
        <v>3</v>
      </c>
      <c r="R245" s="225" t="e">
        <f t="shared" si="180"/>
        <v>#N/A</v>
      </c>
      <c r="S245" s="225" t="e">
        <f t="shared" si="180"/>
        <v>#N/A</v>
      </c>
      <c r="T245" s="225">
        <f t="shared" si="180"/>
        <v>4</v>
      </c>
      <c r="U245" s="225" t="e">
        <f t="shared" si="180"/>
        <v>#N/A</v>
      </c>
      <c r="V245" s="225" t="e">
        <f t="shared" si="180"/>
        <v>#N/A</v>
      </c>
      <c r="W245" s="225" t="e">
        <f t="shared" si="181"/>
        <v>#N/A</v>
      </c>
      <c r="X245" s="225" t="e">
        <f t="shared" si="181"/>
        <v>#N/A</v>
      </c>
      <c r="Y245" s="225" t="e">
        <f t="shared" si="181"/>
        <v>#N/A</v>
      </c>
      <c r="Z245" s="225" t="e">
        <f t="shared" si="181"/>
        <v>#N/A</v>
      </c>
      <c r="AA245" s="225" t="e">
        <f t="shared" si="181"/>
        <v>#N/A</v>
      </c>
      <c r="AB245" s="225" t="e">
        <f t="shared" si="181"/>
        <v>#N/A</v>
      </c>
      <c r="AC245" s="225" t="e">
        <f t="shared" si="181"/>
        <v>#N/A</v>
      </c>
      <c r="AD245" s="225">
        <f t="shared" si="181"/>
        <v>5</v>
      </c>
      <c r="AE245" s="225" t="e">
        <f t="shared" si="181"/>
        <v>#N/A</v>
      </c>
      <c r="AF245" s="225" t="e">
        <f t="shared" si="181"/>
        <v>#N/A</v>
      </c>
      <c r="AG245" s="225" t="e">
        <f t="shared" si="182"/>
        <v>#N/A</v>
      </c>
      <c r="AH245" s="225" t="e">
        <f t="shared" si="182"/>
        <v>#N/A</v>
      </c>
      <c r="AI245" s="225" t="e">
        <f t="shared" si="182"/>
        <v>#N/A</v>
      </c>
      <c r="AJ245" s="225" t="e">
        <f t="shared" si="182"/>
        <v>#N/A</v>
      </c>
      <c r="AK245" s="225" t="e">
        <f t="shared" si="182"/>
        <v>#N/A</v>
      </c>
      <c r="AL245" s="225" t="e">
        <f t="shared" si="182"/>
        <v>#N/A</v>
      </c>
      <c r="AM245" s="225" t="e">
        <f t="shared" si="182"/>
        <v>#N/A</v>
      </c>
      <c r="AN245" s="225">
        <f t="shared" si="182"/>
        <v>6</v>
      </c>
      <c r="AO245" s="225" t="e">
        <f t="shared" si="182"/>
        <v>#N/A</v>
      </c>
      <c r="AP245" s="225" t="e">
        <f t="shared" si="182"/>
        <v>#N/A</v>
      </c>
      <c r="AQ245" s="225" t="e">
        <f t="shared" si="183"/>
        <v>#N/A</v>
      </c>
      <c r="AR245" s="225" t="e">
        <f t="shared" si="183"/>
        <v>#N/A</v>
      </c>
      <c r="AS245" s="225" t="e">
        <f t="shared" si="184"/>
        <v>#N/A</v>
      </c>
      <c r="AT245" s="225" t="e">
        <f t="shared" si="184"/>
        <v>#N/A</v>
      </c>
      <c r="AU245" s="225" t="e">
        <f t="shared" si="184"/>
        <v>#N/A</v>
      </c>
      <c r="AV245" s="225" t="e">
        <f t="shared" si="184"/>
        <v>#N/A</v>
      </c>
      <c r="AW245" s="225" t="e">
        <f t="shared" si="184"/>
        <v>#N/A</v>
      </c>
      <c r="AX245" s="225">
        <f t="shared" si="184"/>
        <v>7</v>
      </c>
      <c r="AY245" s="225" t="e">
        <f t="shared" si="184"/>
        <v>#N/A</v>
      </c>
      <c r="AZ245" s="225" t="e">
        <f t="shared" si="184"/>
        <v>#N/A</v>
      </c>
      <c r="BA245" s="225" t="e">
        <f t="shared" si="184"/>
        <v>#N/A</v>
      </c>
      <c r="BB245" s="225" t="e">
        <f t="shared" si="184"/>
        <v>#N/A</v>
      </c>
      <c r="BC245" s="225" t="e">
        <f t="shared" si="184"/>
        <v>#N/A</v>
      </c>
      <c r="BD245" s="225" t="e">
        <f t="shared" si="184"/>
        <v>#N/A</v>
      </c>
      <c r="BE245" s="225" t="e">
        <f t="shared" si="184"/>
        <v>#N/A</v>
      </c>
      <c r="BF245" s="225" t="e">
        <f t="shared" si="184"/>
        <v>#N/A</v>
      </c>
    </row>
    <row r="246" spans="1:58">
      <c r="A246" s="225" t="s">
        <v>16</v>
      </c>
      <c r="C246" s="225">
        <f>C225</f>
        <v>-1</v>
      </c>
      <c r="D246" s="225">
        <f t="shared" si="185"/>
        <v>0</v>
      </c>
      <c r="E246" s="225">
        <f t="shared" si="185"/>
        <v>1</v>
      </c>
      <c r="F246" s="225">
        <v>2</v>
      </c>
      <c r="G246" s="225">
        <v>3</v>
      </c>
      <c r="H246" s="225">
        <v>4</v>
      </c>
      <c r="I246" s="225">
        <v>5</v>
      </c>
      <c r="J246" s="225">
        <v>6</v>
      </c>
      <c r="K246" s="225">
        <v>7</v>
      </c>
      <c r="L246" s="225">
        <f>MATCH(J$254,$D$245:$K$245,$C246)</f>
        <v>6</v>
      </c>
      <c r="M246" s="225">
        <f t="shared" ref="M246:AR246" si="186">MATCH(K$227,$D$224:$J$224,$C246)</f>
        <v>6</v>
      </c>
      <c r="N246" s="225">
        <f t="shared" si="186"/>
        <v>6</v>
      </c>
      <c r="O246" s="225">
        <f t="shared" si="186"/>
        <v>6</v>
      </c>
      <c r="P246" s="225">
        <f t="shared" si="186"/>
        <v>5</v>
      </c>
      <c r="Q246" s="225">
        <f t="shared" si="186"/>
        <v>5</v>
      </c>
      <c r="R246" s="225">
        <f t="shared" si="186"/>
        <v>4</v>
      </c>
      <c r="S246" s="225">
        <f t="shared" si="186"/>
        <v>4</v>
      </c>
      <c r="T246" s="225">
        <f t="shared" si="186"/>
        <v>4</v>
      </c>
      <c r="U246" s="225">
        <f t="shared" si="186"/>
        <v>3</v>
      </c>
      <c r="V246" s="225">
        <f t="shared" si="186"/>
        <v>3</v>
      </c>
      <c r="W246" s="225">
        <f t="shared" si="186"/>
        <v>3</v>
      </c>
      <c r="X246" s="225">
        <f t="shared" si="186"/>
        <v>3</v>
      </c>
      <c r="Y246" s="225">
        <f t="shared" si="186"/>
        <v>3</v>
      </c>
      <c r="Z246" s="225">
        <f t="shared" si="186"/>
        <v>3</v>
      </c>
      <c r="AA246" s="225">
        <f t="shared" si="186"/>
        <v>3</v>
      </c>
      <c r="AB246" s="225">
        <f t="shared" si="186"/>
        <v>3</v>
      </c>
      <c r="AC246" s="225">
        <f t="shared" si="186"/>
        <v>3</v>
      </c>
      <c r="AD246" s="225">
        <f t="shared" si="186"/>
        <v>3</v>
      </c>
      <c r="AE246" s="225">
        <f t="shared" si="186"/>
        <v>2</v>
      </c>
      <c r="AF246" s="225">
        <f t="shared" si="186"/>
        <v>2</v>
      </c>
      <c r="AG246" s="225">
        <f t="shared" si="186"/>
        <v>2</v>
      </c>
      <c r="AH246" s="225">
        <f t="shared" si="186"/>
        <v>2</v>
      </c>
      <c r="AI246" s="225">
        <f t="shared" si="186"/>
        <v>2</v>
      </c>
      <c r="AJ246" s="225">
        <f t="shared" si="186"/>
        <v>2</v>
      </c>
      <c r="AK246" s="225">
        <f t="shared" si="186"/>
        <v>2</v>
      </c>
      <c r="AL246" s="225">
        <f t="shared" si="186"/>
        <v>2</v>
      </c>
      <c r="AM246" s="225">
        <f t="shared" si="186"/>
        <v>2</v>
      </c>
      <c r="AN246" s="225">
        <f t="shared" si="186"/>
        <v>2</v>
      </c>
      <c r="AO246" s="225">
        <f t="shared" si="186"/>
        <v>1</v>
      </c>
      <c r="AP246" s="225">
        <f t="shared" si="186"/>
        <v>1</v>
      </c>
      <c r="AQ246" s="225">
        <f t="shared" si="186"/>
        <v>1</v>
      </c>
      <c r="AR246" s="225">
        <f t="shared" si="186"/>
        <v>1</v>
      </c>
      <c r="AS246" s="225">
        <f t="shared" ref="AS246:BF246" si="187">MATCH(AQ$254,$D$224:$J$224,$C246)</f>
        <v>1</v>
      </c>
      <c r="AT246" s="225">
        <f t="shared" si="187"/>
        <v>1</v>
      </c>
      <c r="AU246" s="225">
        <f t="shared" si="187"/>
        <v>1</v>
      </c>
      <c r="AV246" s="225">
        <f t="shared" si="187"/>
        <v>1</v>
      </c>
      <c r="AW246" s="225">
        <f t="shared" si="187"/>
        <v>1</v>
      </c>
      <c r="AX246" s="225">
        <f t="shared" si="187"/>
        <v>1</v>
      </c>
      <c r="AY246" s="225" t="e">
        <f t="shared" si="187"/>
        <v>#N/A</v>
      </c>
      <c r="AZ246" s="225" t="e">
        <f t="shared" si="187"/>
        <v>#N/A</v>
      </c>
      <c r="BA246" s="225" t="e">
        <f t="shared" si="187"/>
        <v>#N/A</v>
      </c>
      <c r="BB246" s="225" t="e">
        <f t="shared" si="187"/>
        <v>#N/A</v>
      </c>
      <c r="BC246" s="225" t="e">
        <f t="shared" si="187"/>
        <v>#N/A</v>
      </c>
      <c r="BD246" s="225" t="e">
        <f t="shared" si="187"/>
        <v>#N/A</v>
      </c>
      <c r="BE246" s="225" t="e">
        <f t="shared" si="187"/>
        <v>#N/A</v>
      </c>
      <c r="BF246" s="225" t="e">
        <f t="shared" si="187"/>
        <v>#N/A</v>
      </c>
    </row>
    <row r="247" spans="1:58">
      <c r="A247" s="225" t="s">
        <v>16</v>
      </c>
      <c r="L247" s="229">
        <f>IF(ISNA(L244),-1,IF(ISNA(L246),99,IF(ISNA(L245),L244,0)))</f>
        <v>0</v>
      </c>
      <c r="M247" s="229">
        <f>IF(ISNA(M244),-1,IF(ISNA(M246),99,IF(ISNA(M245),M244,0)))</f>
        <v>1</v>
      </c>
      <c r="N247" s="229">
        <f t="shared" ref="N247:BF247" si="188">IF(ISNA(N244),-1,IF(ISNA(N246),99,IF(ISNA(N245),N244,0)))</f>
        <v>1</v>
      </c>
      <c r="O247" s="229">
        <f t="shared" si="188"/>
        <v>0</v>
      </c>
      <c r="P247" s="229">
        <f t="shared" si="188"/>
        <v>2</v>
      </c>
      <c r="Q247" s="229">
        <f t="shared" si="188"/>
        <v>0</v>
      </c>
      <c r="R247" s="229">
        <f t="shared" si="188"/>
        <v>3</v>
      </c>
      <c r="S247" s="229">
        <f t="shared" si="188"/>
        <v>3</v>
      </c>
      <c r="T247" s="229">
        <f t="shared" si="188"/>
        <v>0</v>
      </c>
      <c r="U247" s="229">
        <f t="shared" si="188"/>
        <v>4</v>
      </c>
      <c r="V247" s="229">
        <f t="shared" si="188"/>
        <v>4</v>
      </c>
      <c r="W247" s="229">
        <f t="shared" si="188"/>
        <v>4</v>
      </c>
      <c r="X247" s="229">
        <f t="shared" si="188"/>
        <v>4</v>
      </c>
      <c r="Y247" s="229">
        <f t="shared" si="188"/>
        <v>4</v>
      </c>
      <c r="Z247" s="229">
        <f t="shared" si="188"/>
        <v>4</v>
      </c>
      <c r="AA247" s="229">
        <f t="shared" si="188"/>
        <v>4</v>
      </c>
      <c r="AB247" s="229">
        <f t="shared" si="188"/>
        <v>4</v>
      </c>
      <c r="AC247" s="229">
        <f t="shared" si="188"/>
        <v>4</v>
      </c>
      <c r="AD247" s="229">
        <f t="shared" si="188"/>
        <v>0</v>
      </c>
      <c r="AE247" s="229">
        <f t="shared" si="188"/>
        <v>5</v>
      </c>
      <c r="AF247" s="229">
        <f t="shared" si="188"/>
        <v>5</v>
      </c>
      <c r="AG247" s="229">
        <f t="shared" si="188"/>
        <v>5</v>
      </c>
      <c r="AH247" s="229">
        <f t="shared" si="188"/>
        <v>5</v>
      </c>
      <c r="AI247" s="229">
        <f t="shared" si="188"/>
        <v>5</v>
      </c>
      <c r="AJ247" s="229">
        <f t="shared" si="188"/>
        <v>5</v>
      </c>
      <c r="AK247" s="229">
        <f t="shared" si="188"/>
        <v>5</v>
      </c>
      <c r="AL247" s="229">
        <f t="shared" si="188"/>
        <v>5</v>
      </c>
      <c r="AM247" s="229">
        <f t="shared" si="188"/>
        <v>5</v>
      </c>
      <c r="AN247" s="229">
        <f t="shared" si="188"/>
        <v>0</v>
      </c>
      <c r="AO247" s="229">
        <f t="shared" si="188"/>
        <v>6</v>
      </c>
      <c r="AP247" s="229">
        <f t="shared" si="188"/>
        <v>6</v>
      </c>
      <c r="AQ247" s="229">
        <f t="shared" si="188"/>
        <v>6</v>
      </c>
      <c r="AR247" s="229">
        <f t="shared" si="188"/>
        <v>6</v>
      </c>
      <c r="AS247" s="229">
        <f t="shared" si="188"/>
        <v>6</v>
      </c>
      <c r="AT247" s="229">
        <f t="shared" si="188"/>
        <v>6</v>
      </c>
      <c r="AU247" s="229">
        <f t="shared" si="188"/>
        <v>6</v>
      </c>
      <c r="AV247" s="229">
        <f t="shared" si="188"/>
        <v>6</v>
      </c>
      <c r="AW247" s="229">
        <f t="shared" si="188"/>
        <v>6</v>
      </c>
      <c r="AX247" s="229">
        <f t="shared" si="188"/>
        <v>0</v>
      </c>
      <c r="AY247" s="229">
        <f t="shared" si="188"/>
        <v>99</v>
      </c>
      <c r="AZ247" s="229">
        <f t="shared" si="188"/>
        <v>99</v>
      </c>
      <c r="BA247" s="229">
        <f t="shared" si="188"/>
        <v>99</v>
      </c>
      <c r="BB247" s="229">
        <f t="shared" si="188"/>
        <v>99</v>
      </c>
      <c r="BC247" s="229">
        <f t="shared" si="188"/>
        <v>99</v>
      </c>
      <c r="BD247" s="229">
        <f t="shared" si="188"/>
        <v>99</v>
      </c>
      <c r="BE247" s="229">
        <f t="shared" si="188"/>
        <v>99</v>
      </c>
      <c r="BF247" s="229">
        <f t="shared" si="188"/>
        <v>99</v>
      </c>
    </row>
    <row r="248" spans="1:58">
      <c r="A248" s="225" t="s">
        <v>16</v>
      </c>
      <c r="B248" s="225" t="s">
        <v>275</v>
      </c>
      <c r="C248" s="226" t="s">
        <v>447</v>
      </c>
      <c r="D248" s="130">
        <f t="shared" ref="D248:E250" si="189">E107/E$111</f>
        <v>1.1053137150269459E-2</v>
      </c>
      <c r="E248" s="130">
        <f t="shared" si="189"/>
        <v>1.0169249329976267E-2</v>
      </c>
      <c r="F248" s="130"/>
      <c r="G248" s="130">
        <f t="shared" ref="G248:J250" si="190">H107/H$111</f>
        <v>1.0229728876257721E-2</v>
      </c>
      <c r="H248" s="130">
        <f t="shared" si="190"/>
        <v>7.8234237884475897E-3</v>
      </c>
      <c r="I248" s="130">
        <f t="shared" si="190"/>
        <v>5.09111402391213E-3</v>
      </c>
      <c r="J248" s="130">
        <f t="shared" si="190"/>
        <v>3.2969726688456087E-3</v>
      </c>
      <c r="K248" s="130">
        <f>K107/K$111</f>
        <v>3.2969726688456087E-3</v>
      </c>
      <c r="L248" s="225"/>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225" t="s">
        <v>16</v>
      </c>
      <c r="B249" s="225" t="s">
        <v>276</v>
      </c>
      <c r="C249" s="226" t="s">
        <v>447</v>
      </c>
      <c r="D249" s="130">
        <f t="shared" si="189"/>
        <v>0.3679281876903942</v>
      </c>
      <c r="E249" s="130">
        <f t="shared" si="189"/>
        <v>0.35527512298019537</v>
      </c>
      <c r="F249" s="130"/>
      <c r="G249" s="130">
        <f t="shared" si="190"/>
        <v>0.38764597392900357</v>
      </c>
      <c r="H249" s="130">
        <f t="shared" si="190"/>
        <v>0.33384665618527898</v>
      </c>
      <c r="I249" s="130">
        <f t="shared" si="190"/>
        <v>0.29054918837780691</v>
      </c>
      <c r="J249" s="130">
        <f t="shared" si="190"/>
        <v>0.25506671939269993</v>
      </c>
      <c r="K249" s="130">
        <f>K108/K$111</f>
        <v>0.25506671939269993</v>
      </c>
      <c r="L249" s="225"/>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225" t="s">
        <v>16</v>
      </c>
      <c r="B250" s="225" t="s">
        <v>277</v>
      </c>
      <c r="C250" s="226" t="s">
        <v>447</v>
      </c>
      <c r="D250" s="130">
        <f t="shared" si="189"/>
        <v>0.55812972771388203</v>
      </c>
      <c r="E250" s="130">
        <f t="shared" si="189"/>
        <v>0.57430995242344995</v>
      </c>
      <c r="F250" s="130"/>
      <c r="G250" s="130">
        <f t="shared" si="190"/>
        <v>0.54465065193878159</v>
      </c>
      <c r="H250" s="130">
        <f t="shared" si="190"/>
        <v>0.60831092700725775</v>
      </c>
      <c r="I250" s="130">
        <f t="shared" si="190"/>
        <v>0.66208385493841582</v>
      </c>
      <c r="J250" s="130">
        <f t="shared" si="190"/>
        <v>0.70562835409041658</v>
      </c>
      <c r="K250" s="130">
        <f>K109/K$111</f>
        <v>0.70562835409041658</v>
      </c>
      <c r="L250" s="225"/>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225" t="s">
        <v>16</v>
      </c>
      <c r="B251" s="225" t="str">
        <f>B248</f>
        <v>hhd-le</v>
      </c>
      <c r="C251" s="226" t="s">
        <v>446</v>
      </c>
      <c r="D251" s="130">
        <f t="shared" ref="D251:E251" si="191">SUM(E115:E117)/SUM(E$127:E$129)</f>
        <v>0.63313581335464397</v>
      </c>
      <c r="E251" s="130">
        <f t="shared" si="191"/>
        <v>0.61687028700310675</v>
      </c>
      <c r="F251" s="130"/>
      <c r="G251" s="130">
        <f>SUM(H115:H117)/SUM(H$127:H$129)</f>
        <v>0.60317882602556938</v>
      </c>
      <c r="H251" s="130">
        <f>SUM(I115:I117)/SUM(I$127:I$129)</f>
        <v>0.56371695603241323</v>
      </c>
      <c r="I251" s="130">
        <f>SUM(J115:J117)/SUM(J$127:J$129)</f>
        <v>0.48741725703684452</v>
      </c>
      <c r="J251" s="130">
        <f>SUM(K115:K117)/SUM(K$127:K$129)</f>
        <v>0.41383435309715988</v>
      </c>
      <c r="K251" s="130">
        <f>SUM(K115:K117)/SUM(K$127:K$129)</f>
        <v>0.41383435309715988</v>
      </c>
      <c r="L251" s="225"/>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225" t="s">
        <v>16</v>
      </c>
      <c r="B252" s="225" t="str">
        <f>B249</f>
        <v>hhd-me</v>
      </c>
      <c r="C252" s="226" t="s">
        <v>446</v>
      </c>
      <c r="D252" s="130">
        <f t="shared" ref="D252:E252" si="192">SUM(E119:E121)/SUM(E$127:E$129)</f>
        <v>0.27462137313177454</v>
      </c>
      <c r="E252" s="130">
        <f t="shared" si="192"/>
        <v>0.28214082523884343</v>
      </c>
      <c r="F252" s="130"/>
      <c r="G252" s="130">
        <f>SUM(H119:H121)/SUM(H$127:H$129)</f>
        <v>0.2992862225293707</v>
      </c>
      <c r="H252" s="130">
        <f>SUM(I119:I121)/SUM(I$127:I$129)</f>
        <v>0.31672290248860974</v>
      </c>
      <c r="I252" s="130">
        <f>SUM(J119:J121)/SUM(J$127:J$129)</f>
        <v>0.36948203811037839</v>
      </c>
      <c r="J252" s="130">
        <f>SUM(K119:K121)/SUM(K$127:K$129)</f>
        <v>0.42880376894399891</v>
      </c>
      <c r="K252" s="130">
        <f>SUM(K119:K121)/SUM(K$127:K$129)</f>
        <v>0.42880376894399891</v>
      </c>
      <c r="L252" s="225"/>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225" t="s">
        <v>16</v>
      </c>
      <c r="B253" s="225" t="str">
        <f>B250</f>
        <v>hhd-he</v>
      </c>
      <c r="C253" s="226" t="s">
        <v>446</v>
      </c>
      <c r="D253" s="130">
        <f t="shared" ref="D253:E253" si="193">SUM(E123:E125)/SUM(E$127:E$129)</f>
        <v>9.2242813513581462E-2</v>
      </c>
      <c r="E253" s="130">
        <f t="shared" si="193"/>
        <v>0.10098888775804991</v>
      </c>
      <c r="F253" s="130"/>
      <c r="G253" s="130">
        <f>SUM(H123:H125)/SUM(H$127:H$129)</f>
        <v>9.7534951445060095E-2</v>
      </c>
      <c r="H253" s="130">
        <f>SUM(I123:I125)/SUM(I$127:I$129)</f>
        <v>0.11956014147897695</v>
      </c>
      <c r="I253" s="130">
        <f>SUM(J123:J125)/SUM(J$127:J$129)</f>
        <v>0.14310070485277707</v>
      </c>
      <c r="J253" s="130">
        <f>SUM(K123:K125)/SUM(K$127:K$129)</f>
        <v>0.15736187795884113</v>
      </c>
      <c r="K253" s="130">
        <f>SUM(K123:K125)/SUM(K$127:K$129)</f>
        <v>0.15736187795884113</v>
      </c>
      <c r="L253" s="225"/>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225" t="s">
        <v>16</v>
      </c>
      <c r="G254" s="5" t="s">
        <v>445</v>
      </c>
      <c r="J254" s="225">
        <f t="shared" ref="J254:AR254" si="194">J227</f>
        <v>2012</v>
      </c>
      <c r="K254" s="225">
        <f t="shared" si="194"/>
        <v>2013</v>
      </c>
      <c r="L254" s="225">
        <f t="shared" si="194"/>
        <v>2014</v>
      </c>
      <c r="M254" s="225">
        <f t="shared" si="194"/>
        <v>2015</v>
      </c>
      <c r="N254" s="225">
        <f t="shared" si="194"/>
        <v>2016</v>
      </c>
      <c r="O254" s="225">
        <f t="shared" si="194"/>
        <v>2017</v>
      </c>
      <c r="P254" s="225">
        <f t="shared" si="194"/>
        <v>2018</v>
      </c>
      <c r="Q254" s="225">
        <f t="shared" si="194"/>
        <v>2019</v>
      </c>
      <c r="R254" s="225">
        <f t="shared" si="194"/>
        <v>2020</v>
      </c>
      <c r="S254" s="225">
        <f t="shared" si="194"/>
        <v>2021</v>
      </c>
      <c r="T254" s="225">
        <f t="shared" si="194"/>
        <v>2022</v>
      </c>
      <c r="U254" s="225">
        <f t="shared" si="194"/>
        <v>2023</v>
      </c>
      <c r="V254" s="225">
        <f t="shared" si="194"/>
        <v>2024</v>
      </c>
      <c r="W254" s="225">
        <f t="shared" si="194"/>
        <v>2025</v>
      </c>
      <c r="X254" s="225">
        <f t="shared" si="194"/>
        <v>2026</v>
      </c>
      <c r="Y254" s="225">
        <f t="shared" si="194"/>
        <v>2027</v>
      </c>
      <c r="Z254" s="225">
        <f t="shared" si="194"/>
        <v>2028</v>
      </c>
      <c r="AA254" s="225">
        <f t="shared" si="194"/>
        <v>2029</v>
      </c>
      <c r="AB254" s="225">
        <f t="shared" si="194"/>
        <v>2030</v>
      </c>
      <c r="AC254" s="225">
        <f t="shared" si="194"/>
        <v>2031</v>
      </c>
      <c r="AD254" s="225">
        <f t="shared" si="194"/>
        <v>2032</v>
      </c>
      <c r="AE254" s="225">
        <f t="shared" si="194"/>
        <v>2033</v>
      </c>
      <c r="AF254" s="225">
        <f t="shared" si="194"/>
        <v>2034</v>
      </c>
      <c r="AG254" s="225">
        <f t="shared" si="194"/>
        <v>2035</v>
      </c>
      <c r="AH254" s="225">
        <f t="shared" si="194"/>
        <v>2036</v>
      </c>
      <c r="AI254" s="225">
        <f t="shared" si="194"/>
        <v>2037</v>
      </c>
      <c r="AJ254" s="225">
        <f t="shared" si="194"/>
        <v>2038</v>
      </c>
      <c r="AK254" s="225">
        <f t="shared" si="194"/>
        <v>2039</v>
      </c>
      <c r="AL254" s="225">
        <f t="shared" si="194"/>
        <v>2040</v>
      </c>
      <c r="AM254" s="225">
        <f t="shared" si="194"/>
        <v>2041</v>
      </c>
      <c r="AN254" s="225">
        <f t="shared" si="194"/>
        <v>2042</v>
      </c>
      <c r="AO254" s="225">
        <f t="shared" si="194"/>
        <v>2043</v>
      </c>
      <c r="AP254" s="225">
        <f t="shared" si="194"/>
        <v>2044</v>
      </c>
      <c r="AQ254" s="225">
        <f t="shared" si="194"/>
        <v>2045</v>
      </c>
      <c r="AR254" s="225">
        <f t="shared" si="194"/>
        <v>2046</v>
      </c>
      <c r="AS254" s="225">
        <f>AR254+1</f>
        <v>2047</v>
      </c>
      <c r="AT254" s="225">
        <f t="shared" ref="AT254:BB254" si="195">AS254+1</f>
        <v>2048</v>
      </c>
      <c r="AU254" s="225">
        <f t="shared" si="195"/>
        <v>2049</v>
      </c>
      <c r="AV254" s="225">
        <f t="shared" si="195"/>
        <v>2050</v>
      </c>
      <c r="AW254" s="225">
        <f t="shared" si="195"/>
        <v>2051</v>
      </c>
      <c r="AX254" s="225">
        <f t="shared" si="195"/>
        <v>2052</v>
      </c>
      <c r="AY254" s="225">
        <f t="shared" si="195"/>
        <v>2053</v>
      </c>
      <c r="AZ254" s="225">
        <f t="shared" si="195"/>
        <v>2054</v>
      </c>
      <c r="BA254" s="225">
        <f t="shared" si="195"/>
        <v>2055</v>
      </c>
      <c r="BB254" s="225">
        <f t="shared" si="195"/>
        <v>2056</v>
      </c>
      <c r="BC254" s="225">
        <v>2060</v>
      </c>
      <c r="BD254" s="225">
        <v>2070</v>
      </c>
    </row>
    <row r="255" spans="1:58">
      <c r="A255" s="225" t="s">
        <v>16</v>
      </c>
      <c r="E255" s="225" t="s">
        <v>448</v>
      </c>
      <c r="F255" s="225" t="s">
        <v>448</v>
      </c>
      <c r="G255" s="225" t="s">
        <v>442</v>
      </c>
      <c r="H255" s="226" t="s">
        <v>447</v>
      </c>
      <c r="I255" s="225" t="s">
        <v>275</v>
      </c>
      <c r="J255" s="226">
        <f t="shared" ref="J255:J260" si="196">D248</f>
        <v>1.1053137150269459E-2</v>
      </c>
      <c r="K255" s="226">
        <f t="shared" ref="K255:T260" si="197">IF(M$247=-1,L255,IF(M$247=99,J255,IF(M$247=0,INDEX($D248:$K248,0,M$245),(INDEX($D248:$K248,0,M$247+1)-INDEX($D248:$K248,0,M$247))/(INDEX($D$244:$K$244,0,M$247+1)-INDEX($D$244:$K$244,0,M$247))+J255)))</f>
        <v>1.0758507876838396E-2</v>
      </c>
      <c r="L255" s="226">
        <f t="shared" si="197"/>
        <v>1.0463878603407332E-2</v>
      </c>
      <c r="M255" s="226">
        <f t="shared" si="197"/>
        <v>1.0169249329976267E-2</v>
      </c>
      <c r="N255" s="226">
        <f t="shared" si="197"/>
        <v>5.0846246649881334E-3</v>
      </c>
      <c r="O255" s="226">
        <f t="shared" si="197"/>
        <v>0</v>
      </c>
      <c r="P255" s="226">
        <f t="shared" si="197"/>
        <v>3.4099096254192403E-3</v>
      </c>
      <c r="Q255" s="226">
        <f t="shared" si="197"/>
        <v>6.8198192508384806E-3</v>
      </c>
      <c r="R255" s="226">
        <f t="shared" si="197"/>
        <v>1.0229728876257721E-2</v>
      </c>
      <c r="S255" s="226">
        <f t="shared" si="197"/>
        <v>9.9890983674767089E-3</v>
      </c>
      <c r="T255" s="226">
        <f t="shared" si="197"/>
        <v>9.7484678586956964E-3</v>
      </c>
      <c r="U255" s="226">
        <f t="shared" ref="U255:AD260" si="198">IF(W$247=-1,V255,IF(W$247=99,T255,IF(W$247=0,INDEX($D248:$K248,0,W$245),(INDEX($D248:$K248,0,W$247+1)-INDEX($D248:$K248,0,W$247))/(INDEX($D$244:$K$244,0,W$247+1)-INDEX($D$244:$K$244,0,W$247))+T255)))</f>
        <v>9.5078373499146839E-3</v>
      </c>
      <c r="V255" s="226">
        <f t="shared" si="198"/>
        <v>9.2672068411336714E-3</v>
      </c>
      <c r="W255" s="226">
        <f t="shared" si="198"/>
        <v>9.026576332352659E-3</v>
      </c>
      <c r="X255" s="226">
        <f t="shared" si="198"/>
        <v>8.7859458235716465E-3</v>
      </c>
      <c r="Y255" s="226">
        <f t="shared" si="198"/>
        <v>8.545315314790634E-3</v>
      </c>
      <c r="Z255" s="226">
        <f t="shared" si="198"/>
        <v>8.3046848060096216E-3</v>
      </c>
      <c r="AA255" s="226">
        <f t="shared" si="198"/>
        <v>8.0640542972286091E-3</v>
      </c>
      <c r="AB255" s="226">
        <f t="shared" si="198"/>
        <v>7.8234237884475897E-3</v>
      </c>
      <c r="AC255" s="226">
        <f t="shared" si="198"/>
        <v>7.5501928119940439E-3</v>
      </c>
      <c r="AD255" s="226">
        <f t="shared" si="198"/>
        <v>7.2769618355404981E-3</v>
      </c>
      <c r="AE255" s="226">
        <f t="shared" ref="AE255:AN260" si="199">IF(AG$247=-1,AF255,IF(AG$247=99,AD255,IF(AG$247=0,INDEX($D248:$K248,0,AG$245),(INDEX($D248:$K248,0,AG$247+1)-INDEX($D248:$K248,0,AG$247))/(INDEX($D$244:$K$244,0,AG$247+1)-INDEX($D$244:$K$244,0,AG$247))+AD255)))</f>
        <v>7.0037308590869523E-3</v>
      </c>
      <c r="AF255" s="226">
        <f t="shared" si="199"/>
        <v>6.7304998826334065E-3</v>
      </c>
      <c r="AG255" s="226">
        <f t="shared" si="199"/>
        <v>6.4572689061798607E-3</v>
      </c>
      <c r="AH255" s="226">
        <f t="shared" si="199"/>
        <v>6.1840379297263149E-3</v>
      </c>
      <c r="AI255" s="226">
        <f t="shared" si="199"/>
        <v>5.9108069532727691E-3</v>
      </c>
      <c r="AJ255" s="226">
        <f t="shared" si="199"/>
        <v>5.6375759768192233E-3</v>
      </c>
      <c r="AK255" s="226">
        <f t="shared" si="199"/>
        <v>5.3643450003656775E-3</v>
      </c>
      <c r="AL255" s="226">
        <f t="shared" si="199"/>
        <v>5.09111402391213E-3</v>
      </c>
      <c r="AM255" s="226">
        <f t="shared" si="199"/>
        <v>4.9116998884054779E-3</v>
      </c>
      <c r="AN255" s="226">
        <f t="shared" si="199"/>
        <v>4.7322857528988259E-3</v>
      </c>
      <c r="AO255" s="226">
        <f t="shared" ref="AO255:AQ260" si="200">IF(AQ$247=-1,AP255,IF(AQ$247=99,AN255,IF(AQ$247=0,INDEX($D248:$K248,0,AQ$245),(INDEX($D248:$K248,0,AQ$247+1)-INDEX($D248:$K248,0,AQ$247))/(INDEX($D$244:$K$244,0,AQ$247+1)-INDEX($D$244:$K$244,0,AQ$247))+AN255)))</f>
        <v>4.5528716173921738E-3</v>
      </c>
      <c r="AP255" s="226">
        <f t="shared" si="200"/>
        <v>4.3734574818855218E-3</v>
      </c>
      <c r="AQ255" s="226">
        <f t="shared" si="200"/>
        <v>4.1940433463788698E-3</v>
      </c>
      <c r="AR255" s="226">
        <f t="shared" ref="AR255:AW260" si="201">IF(AT$247=-1,AW255,IF(AT$247=99,AQ255,IF(AT$247=0,INDEX($D248:$K248,0,AT$245),(INDEX($D248:$K248,0,AT$247+1)-INDEX($D248:$K248,0,AT$247))/(INDEX($D$244:$K$244,0,AT$247+1)-INDEX($D$244:$K$244,0,AT$247))+AQ255)))</f>
        <v>4.0146292108722177E-3</v>
      </c>
      <c r="AS255" s="226">
        <f t="shared" si="201"/>
        <v>3.8352150753655657E-3</v>
      </c>
      <c r="AT255" s="226">
        <f t="shared" si="201"/>
        <v>3.6558009398589136E-3</v>
      </c>
      <c r="AU255" s="226">
        <f t="shared" si="201"/>
        <v>3.4763868043522616E-3</v>
      </c>
      <c r="AV255" s="226">
        <f t="shared" si="201"/>
        <v>3.2969726688456087E-3</v>
      </c>
      <c r="AW255" s="226">
        <f t="shared" si="201"/>
        <v>3.2969726688456087E-3</v>
      </c>
      <c r="AX255" s="226">
        <f t="shared" ref="AX255:BD260" si="202">IF(AV$247=-1,AZ255,IF(AV$247=99,AW255,IF(AV$247=0,INDEX($D248:$K248,0,AV$245),(INDEX($D248:$K248,0,AV$247+1)-INDEX($D248:$K248,0,AV$247))/(INDEX($D$244:$K$244,0,AV$247+1)-INDEX($D$244:$K$244,0,AV$247))+AW255)))</f>
        <v>3.1175585333389566E-3</v>
      </c>
      <c r="AY255" s="226">
        <f t="shared" si="202"/>
        <v>2.9381443978323046E-3</v>
      </c>
      <c r="AZ255" s="226">
        <f t="shared" si="202"/>
        <v>3.2969726688456087E-3</v>
      </c>
      <c r="BA255" s="226">
        <f t="shared" si="202"/>
        <v>3.2969726688456087E-3</v>
      </c>
      <c r="BB255" s="226">
        <f t="shared" si="202"/>
        <v>3.2969726688456087E-3</v>
      </c>
      <c r="BC255" s="226">
        <f t="shared" si="202"/>
        <v>3.2969726688456087E-3</v>
      </c>
      <c r="BD255" s="226">
        <f t="shared" si="202"/>
        <v>3.2969726688456087E-3</v>
      </c>
    </row>
    <row r="256" spans="1:58">
      <c r="A256" s="225" t="s">
        <v>16</v>
      </c>
      <c r="E256" s="225" t="s">
        <v>448</v>
      </c>
      <c r="F256" s="225" t="s">
        <v>448</v>
      </c>
      <c r="G256" s="225" t="s">
        <v>443</v>
      </c>
      <c r="H256" s="226" t="s">
        <v>447</v>
      </c>
      <c r="I256" s="225" t="s">
        <v>276</v>
      </c>
      <c r="J256" s="226">
        <f t="shared" si="196"/>
        <v>0.3679281876903942</v>
      </c>
      <c r="K256" s="226">
        <f t="shared" si="197"/>
        <v>0.36371049945366124</v>
      </c>
      <c r="L256" s="226">
        <f t="shared" si="197"/>
        <v>0.35949281121692828</v>
      </c>
      <c r="M256" s="226">
        <f t="shared" si="197"/>
        <v>0.35527512298019537</v>
      </c>
      <c r="N256" s="226">
        <f t="shared" si="197"/>
        <v>0.17763756149009768</v>
      </c>
      <c r="O256" s="226">
        <f t="shared" si="197"/>
        <v>0</v>
      </c>
      <c r="P256" s="226">
        <f t="shared" si="197"/>
        <v>0.1292153246430012</v>
      </c>
      <c r="Q256" s="226">
        <f t="shared" si="197"/>
        <v>0.2584306492860024</v>
      </c>
      <c r="R256" s="226">
        <f t="shared" si="197"/>
        <v>0.38764597392900357</v>
      </c>
      <c r="S256" s="226">
        <f t="shared" si="197"/>
        <v>0.38226604215463111</v>
      </c>
      <c r="T256" s="226">
        <f t="shared" si="197"/>
        <v>0.37688611038025865</v>
      </c>
      <c r="U256" s="226">
        <f t="shared" si="198"/>
        <v>0.37150617860588619</v>
      </c>
      <c r="V256" s="226">
        <f t="shared" si="198"/>
        <v>0.36612624683151374</v>
      </c>
      <c r="W256" s="226">
        <f t="shared" si="198"/>
        <v>0.36074631505714128</v>
      </c>
      <c r="X256" s="226">
        <f t="shared" si="198"/>
        <v>0.35536638328276882</v>
      </c>
      <c r="Y256" s="226">
        <f t="shared" si="198"/>
        <v>0.34998645150839636</v>
      </c>
      <c r="Z256" s="226">
        <f t="shared" si="198"/>
        <v>0.3446065197340239</v>
      </c>
      <c r="AA256" s="226">
        <f t="shared" si="198"/>
        <v>0.33922658795965144</v>
      </c>
      <c r="AB256" s="226">
        <f t="shared" si="198"/>
        <v>0.33384665618527898</v>
      </c>
      <c r="AC256" s="226">
        <f t="shared" si="198"/>
        <v>0.32951690940453177</v>
      </c>
      <c r="AD256" s="226">
        <f t="shared" si="198"/>
        <v>0.32518716262378455</v>
      </c>
      <c r="AE256" s="226">
        <f t="shared" si="199"/>
        <v>0.32085741584303734</v>
      </c>
      <c r="AF256" s="226">
        <f t="shared" si="199"/>
        <v>0.31652766906229013</v>
      </c>
      <c r="AG256" s="226">
        <f t="shared" si="199"/>
        <v>0.31219792228154292</v>
      </c>
      <c r="AH256" s="226">
        <f t="shared" si="199"/>
        <v>0.3078681755007957</v>
      </c>
      <c r="AI256" s="226">
        <f t="shared" si="199"/>
        <v>0.30353842872004849</v>
      </c>
      <c r="AJ256" s="226">
        <f t="shared" si="199"/>
        <v>0.29920868193930128</v>
      </c>
      <c r="AK256" s="226">
        <f t="shared" si="199"/>
        <v>0.29487893515855407</v>
      </c>
      <c r="AL256" s="226">
        <f t="shared" si="199"/>
        <v>0.29054918837780691</v>
      </c>
      <c r="AM256" s="226">
        <f t="shared" si="199"/>
        <v>0.28700094147929622</v>
      </c>
      <c r="AN256" s="226">
        <f t="shared" si="199"/>
        <v>0.28345269458078554</v>
      </c>
      <c r="AO256" s="226">
        <f t="shared" si="200"/>
        <v>0.27990444768227485</v>
      </c>
      <c r="AP256" s="226">
        <f t="shared" si="200"/>
        <v>0.27635620078376416</v>
      </c>
      <c r="AQ256" s="226">
        <f t="shared" si="200"/>
        <v>0.27280795388525347</v>
      </c>
      <c r="AR256" s="226">
        <f t="shared" si="201"/>
        <v>0.26925970698674279</v>
      </c>
      <c r="AS256" s="226">
        <f t="shared" si="201"/>
        <v>0.2657114600882321</v>
      </c>
      <c r="AT256" s="226">
        <f t="shared" si="201"/>
        <v>0.26216321318972141</v>
      </c>
      <c r="AU256" s="226">
        <f t="shared" si="201"/>
        <v>0.25861496629121072</v>
      </c>
      <c r="AV256" s="226">
        <f t="shared" si="201"/>
        <v>0.25506671939269993</v>
      </c>
      <c r="AW256" s="226">
        <f t="shared" si="201"/>
        <v>0.25506671939269993</v>
      </c>
      <c r="AX256" s="226">
        <f t="shared" si="202"/>
        <v>0.25151847249418924</v>
      </c>
      <c r="AY256" s="226">
        <f t="shared" si="202"/>
        <v>0.24797022559567855</v>
      </c>
      <c r="AZ256" s="226">
        <f t="shared" si="202"/>
        <v>0.25506671939269993</v>
      </c>
      <c r="BA256" s="226">
        <f t="shared" si="202"/>
        <v>0.25506671939269993</v>
      </c>
      <c r="BB256" s="226">
        <f t="shared" si="202"/>
        <v>0.25506671939269993</v>
      </c>
      <c r="BC256" s="226">
        <f t="shared" si="202"/>
        <v>0.25506671939269993</v>
      </c>
      <c r="BD256" s="226">
        <f t="shared" si="202"/>
        <v>0.25506671939269993</v>
      </c>
    </row>
    <row r="257" spans="1:56">
      <c r="A257" s="225" t="s">
        <v>16</v>
      </c>
      <c r="E257" s="225" t="s">
        <v>448</v>
      </c>
      <c r="F257" s="225" t="s">
        <v>448</v>
      </c>
      <c r="G257" s="225" t="s">
        <v>444</v>
      </c>
      <c r="H257" s="226" t="s">
        <v>447</v>
      </c>
      <c r="I257" s="225" t="s">
        <v>277</v>
      </c>
      <c r="J257" s="226">
        <f t="shared" si="196"/>
        <v>0.55812972771388203</v>
      </c>
      <c r="K257" s="226">
        <f t="shared" si="197"/>
        <v>0.56352313595040471</v>
      </c>
      <c r="L257" s="226">
        <f t="shared" si="197"/>
        <v>0.56891654418692739</v>
      </c>
      <c r="M257" s="226">
        <f t="shared" si="197"/>
        <v>0.57430995242344995</v>
      </c>
      <c r="N257" s="226">
        <f t="shared" si="197"/>
        <v>0.28715497621172498</v>
      </c>
      <c r="O257" s="226">
        <f t="shared" si="197"/>
        <v>0</v>
      </c>
      <c r="P257" s="226">
        <f t="shared" si="197"/>
        <v>0.1815502173129272</v>
      </c>
      <c r="Q257" s="226">
        <f t="shared" si="197"/>
        <v>0.3631004346258544</v>
      </c>
      <c r="R257" s="226">
        <f t="shared" si="197"/>
        <v>0.54465065193878159</v>
      </c>
      <c r="S257" s="226">
        <f t="shared" si="197"/>
        <v>0.55101667944562926</v>
      </c>
      <c r="T257" s="226">
        <f t="shared" si="197"/>
        <v>0.55738270695247683</v>
      </c>
      <c r="U257" s="226">
        <f t="shared" si="198"/>
        <v>0.56374873445932439</v>
      </c>
      <c r="V257" s="226">
        <f t="shared" si="198"/>
        <v>0.57011476196617195</v>
      </c>
      <c r="W257" s="226">
        <f t="shared" si="198"/>
        <v>0.57648078947301951</v>
      </c>
      <c r="X257" s="226">
        <f t="shared" si="198"/>
        <v>0.58284681697986707</v>
      </c>
      <c r="Y257" s="226">
        <f t="shared" si="198"/>
        <v>0.58921284448671463</v>
      </c>
      <c r="Z257" s="226">
        <f t="shared" si="198"/>
        <v>0.59557887199356219</v>
      </c>
      <c r="AA257" s="226">
        <f t="shared" si="198"/>
        <v>0.60194489950040975</v>
      </c>
      <c r="AB257" s="226">
        <f t="shared" si="198"/>
        <v>0.60831092700725775</v>
      </c>
      <c r="AC257" s="226">
        <f t="shared" si="198"/>
        <v>0.61368821980037358</v>
      </c>
      <c r="AD257" s="226">
        <f t="shared" si="198"/>
        <v>0.61906551259348941</v>
      </c>
      <c r="AE257" s="226">
        <f t="shared" si="199"/>
        <v>0.62444280538660524</v>
      </c>
      <c r="AF257" s="226">
        <f t="shared" si="199"/>
        <v>0.62982009817972107</v>
      </c>
      <c r="AG257" s="226">
        <f t="shared" si="199"/>
        <v>0.63519739097283689</v>
      </c>
      <c r="AH257" s="226">
        <f t="shared" si="199"/>
        <v>0.64057468376595272</v>
      </c>
      <c r="AI257" s="226">
        <f t="shared" si="199"/>
        <v>0.64595197655906855</v>
      </c>
      <c r="AJ257" s="226">
        <f t="shared" si="199"/>
        <v>0.65132926935218438</v>
      </c>
      <c r="AK257" s="226">
        <f t="shared" si="199"/>
        <v>0.65670656214530021</v>
      </c>
      <c r="AL257" s="226">
        <f t="shared" si="199"/>
        <v>0.66208385493841582</v>
      </c>
      <c r="AM257" s="226">
        <f t="shared" si="199"/>
        <v>0.66643830485361588</v>
      </c>
      <c r="AN257" s="226">
        <f t="shared" si="199"/>
        <v>0.67079275476881595</v>
      </c>
      <c r="AO257" s="226">
        <f t="shared" si="200"/>
        <v>0.67514720468401601</v>
      </c>
      <c r="AP257" s="226">
        <f t="shared" si="200"/>
        <v>0.67950165459921608</v>
      </c>
      <c r="AQ257" s="226">
        <f t="shared" si="200"/>
        <v>0.68385610451441614</v>
      </c>
      <c r="AR257" s="226">
        <f t="shared" si="201"/>
        <v>0.68821055442961621</v>
      </c>
      <c r="AS257" s="226">
        <f t="shared" si="201"/>
        <v>0.69256500434481627</v>
      </c>
      <c r="AT257" s="226">
        <f t="shared" si="201"/>
        <v>0.69691945426001634</v>
      </c>
      <c r="AU257" s="226">
        <f t="shared" si="201"/>
        <v>0.7012739041752164</v>
      </c>
      <c r="AV257" s="226">
        <f t="shared" si="201"/>
        <v>0.70562835409041658</v>
      </c>
      <c r="AW257" s="226">
        <f t="shared" si="201"/>
        <v>0.70562835409041658</v>
      </c>
      <c r="AX257" s="226">
        <f t="shared" si="202"/>
        <v>0.70998280400561664</v>
      </c>
      <c r="AY257" s="226">
        <f t="shared" si="202"/>
        <v>0.71433725392081671</v>
      </c>
      <c r="AZ257" s="226">
        <f t="shared" si="202"/>
        <v>0.70562835409041658</v>
      </c>
      <c r="BA257" s="226">
        <f t="shared" si="202"/>
        <v>0.70562835409041658</v>
      </c>
      <c r="BB257" s="226">
        <f t="shared" si="202"/>
        <v>0.70562835409041658</v>
      </c>
      <c r="BC257" s="226">
        <f t="shared" si="202"/>
        <v>0.70562835409041658</v>
      </c>
      <c r="BD257" s="226">
        <f t="shared" si="202"/>
        <v>0.70562835409041658</v>
      </c>
    </row>
    <row r="258" spans="1:56">
      <c r="A258" s="225" t="s">
        <v>16</v>
      </c>
      <c r="E258" s="225" t="s">
        <v>449</v>
      </c>
      <c r="F258" s="225" t="s">
        <v>449</v>
      </c>
      <c r="G258" s="225" t="str">
        <f>G255</f>
        <v>low income</v>
      </c>
      <c r="H258" s="226" t="s">
        <v>446</v>
      </c>
      <c r="I258" s="225" t="str">
        <f>I255</f>
        <v>hhd-le</v>
      </c>
      <c r="J258" s="226">
        <f t="shared" si="196"/>
        <v>0.63313581335464397</v>
      </c>
      <c r="K258" s="226">
        <f t="shared" si="197"/>
        <v>0.62771397123746486</v>
      </c>
      <c r="L258" s="226">
        <f t="shared" si="197"/>
        <v>0.62229212912028575</v>
      </c>
      <c r="M258" s="226">
        <f t="shared" si="197"/>
        <v>0.61687028700310675</v>
      </c>
      <c r="N258" s="226">
        <f t="shared" si="197"/>
        <v>0.30843514350155338</v>
      </c>
      <c r="O258" s="226">
        <f t="shared" si="197"/>
        <v>0</v>
      </c>
      <c r="P258" s="226">
        <f t="shared" si="197"/>
        <v>0.20105960867518979</v>
      </c>
      <c r="Q258" s="226">
        <f t="shared" si="197"/>
        <v>0.40211921735037959</v>
      </c>
      <c r="R258" s="226">
        <f t="shared" si="197"/>
        <v>0.60317882602556938</v>
      </c>
      <c r="S258" s="226">
        <f t="shared" si="197"/>
        <v>0.59923263902625379</v>
      </c>
      <c r="T258" s="226">
        <f t="shared" si="197"/>
        <v>0.5952864520269382</v>
      </c>
      <c r="U258" s="226">
        <f t="shared" si="198"/>
        <v>0.5913402650276226</v>
      </c>
      <c r="V258" s="226">
        <f t="shared" si="198"/>
        <v>0.58739407802830701</v>
      </c>
      <c r="W258" s="226">
        <f t="shared" si="198"/>
        <v>0.58344789102899142</v>
      </c>
      <c r="X258" s="226">
        <f t="shared" si="198"/>
        <v>0.57950170402967582</v>
      </c>
      <c r="Y258" s="226">
        <f t="shared" si="198"/>
        <v>0.57555551703036023</v>
      </c>
      <c r="Z258" s="226">
        <f t="shared" si="198"/>
        <v>0.57160933003104464</v>
      </c>
      <c r="AA258" s="226">
        <f t="shared" si="198"/>
        <v>0.56766314303172904</v>
      </c>
      <c r="AB258" s="226">
        <f t="shared" si="198"/>
        <v>0.56371695603241323</v>
      </c>
      <c r="AC258" s="226">
        <f t="shared" si="198"/>
        <v>0.55608698613285634</v>
      </c>
      <c r="AD258" s="226">
        <f t="shared" si="198"/>
        <v>0.54845701623329945</v>
      </c>
      <c r="AE258" s="226">
        <f t="shared" si="199"/>
        <v>0.54082704633374257</v>
      </c>
      <c r="AF258" s="226">
        <f t="shared" si="199"/>
        <v>0.53319707643418568</v>
      </c>
      <c r="AG258" s="226">
        <f t="shared" si="199"/>
        <v>0.52556710653462879</v>
      </c>
      <c r="AH258" s="226">
        <f t="shared" si="199"/>
        <v>0.5179371366350719</v>
      </c>
      <c r="AI258" s="226">
        <f t="shared" si="199"/>
        <v>0.51030716673551502</v>
      </c>
      <c r="AJ258" s="226">
        <f t="shared" si="199"/>
        <v>0.50267719683595813</v>
      </c>
      <c r="AK258" s="226">
        <f t="shared" si="199"/>
        <v>0.49504722693640124</v>
      </c>
      <c r="AL258" s="226">
        <f t="shared" si="199"/>
        <v>0.48741725703684452</v>
      </c>
      <c r="AM258" s="226">
        <f t="shared" si="199"/>
        <v>0.48005896664287606</v>
      </c>
      <c r="AN258" s="226">
        <f t="shared" si="199"/>
        <v>0.4727006762489076</v>
      </c>
      <c r="AO258" s="226">
        <f t="shared" si="200"/>
        <v>0.46534238585493914</v>
      </c>
      <c r="AP258" s="226">
        <f t="shared" si="200"/>
        <v>0.45798409546097069</v>
      </c>
      <c r="AQ258" s="226">
        <f t="shared" si="200"/>
        <v>0.45062580506700223</v>
      </c>
      <c r="AR258" s="226">
        <f t="shared" si="201"/>
        <v>0.44326751467303377</v>
      </c>
      <c r="AS258" s="226">
        <f t="shared" si="201"/>
        <v>0.43590922427906531</v>
      </c>
      <c r="AT258" s="226">
        <f t="shared" si="201"/>
        <v>0.42855093388509685</v>
      </c>
      <c r="AU258" s="226">
        <f t="shared" si="201"/>
        <v>0.42119264349112839</v>
      </c>
      <c r="AV258" s="226">
        <f t="shared" si="201"/>
        <v>0.41383435309715988</v>
      </c>
      <c r="AW258" s="226">
        <f t="shared" si="201"/>
        <v>0.41383435309715988</v>
      </c>
      <c r="AX258" s="226">
        <f t="shared" si="202"/>
        <v>0.40647606270319142</v>
      </c>
      <c r="AY258" s="226">
        <f t="shared" si="202"/>
        <v>0.39911777230922296</v>
      </c>
      <c r="AZ258" s="226">
        <f t="shared" si="202"/>
        <v>0.41383435309715988</v>
      </c>
      <c r="BA258" s="226">
        <f t="shared" si="202"/>
        <v>0.41383435309715988</v>
      </c>
      <c r="BB258" s="226">
        <f t="shared" si="202"/>
        <v>0.41383435309715988</v>
      </c>
      <c r="BC258" s="226">
        <f t="shared" si="202"/>
        <v>0.41383435309715988</v>
      </c>
      <c r="BD258" s="226">
        <f t="shared" si="202"/>
        <v>0.41383435309715988</v>
      </c>
    </row>
    <row r="259" spans="1:56">
      <c r="A259" s="225" t="s">
        <v>16</v>
      </c>
      <c r="E259" s="225" t="s">
        <v>449</v>
      </c>
      <c r="F259" s="225" t="s">
        <v>449</v>
      </c>
      <c r="G259" s="225" t="str">
        <f>G256</f>
        <v>medium income</v>
      </c>
      <c r="H259" s="226" t="s">
        <v>446</v>
      </c>
      <c r="I259" s="225" t="str">
        <f>I256</f>
        <v>hhd-me</v>
      </c>
      <c r="J259" s="226">
        <f t="shared" si="196"/>
        <v>0.27462137313177454</v>
      </c>
      <c r="K259" s="226">
        <f t="shared" si="197"/>
        <v>0.27712785716746419</v>
      </c>
      <c r="L259" s="226">
        <f t="shared" si="197"/>
        <v>0.27963434120315384</v>
      </c>
      <c r="M259" s="226">
        <f t="shared" si="197"/>
        <v>0.28214082523884343</v>
      </c>
      <c r="N259" s="226">
        <f t="shared" si="197"/>
        <v>0.14107041261942171</v>
      </c>
      <c r="O259" s="226">
        <f t="shared" si="197"/>
        <v>0</v>
      </c>
      <c r="P259" s="226">
        <f t="shared" si="197"/>
        <v>9.9762074176456897E-2</v>
      </c>
      <c r="Q259" s="226">
        <f t="shared" si="197"/>
        <v>0.19952414835291379</v>
      </c>
      <c r="R259" s="226">
        <f t="shared" si="197"/>
        <v>0.2992862225293707</v>
      </c>
      <c r="S259" s="226">
        <f t="shared" si="197"/>
        <v>0.30102989052529461</v>
      </c>
      <c r="T259" s="226">
        <f t="shared" si="197"/>
        <v>0.30277355852121851</v>
      </c>
      <c r="U259" s="226">
        <f t="shared" si="198"/>
        <v>0.30451722651714241</v>
      </c>
      <c r="V259" s="226">
        <f t="shared" si="198"/>
        <v>0.30626089451306632</v>
      </c>
      <c r="W259" s="226">
        <f t="shared" si="198"/>
        <v>0.30800456250899022</v>
      </c>
      <c r="X259" s="226">
        <f t="shared" si="198"/>
        <v>0.30974823050491412</v>
      </c>
      <c r="Y259" s="226">
        <f t="shared" si="198"/>
        <v>0.31149189850083803</v>
      </c>
      <c r="Z259" s="226">
        <f t="shared" si="198"/>
        <v>0.31323556649676193</v>
      </c>
      <c r="AA259" s="226">
        <f t="shared" si="198"/>
        <v>0.31497923449268583</v>
      </c>
      <c r="AB259" s="226">
        <f t="shared" si="198"/>
        <v>0.31672290248860974</v>
      </c>
      <c r="AC259" s="226">
        <f t="shared" si="198"/>
        <v>0.32199881605078662</v>
      </c>
      <c r="AD259" s="226">
        <f t="shared" si="198"/>
        <v>0.3272747296129635</v>
      </c>
      <c r="AE259" s="226">
        <f t="shared" si="199"/>
        <v>0.33255064317514038</v>
      </c>
      <c r="AF259" s="226">
        <f t="shared" si="199"/>
        <v>0.33782655673731726</v>
      </c>
      <c r="AG259" s="226">
        <f t="shared" si="199"/>
        <v>0.34310247029949414</v>
      </c>
      <c r="AH259" s="226">
        <f t="shared" si="199"/>
        <v>0.34837838386167103</v>
      </c>
      <c r="AI259" s="226">
        <f t="shared" si="199"/>
        <v>0.35365429742384791</v>
      </c>
      <c r="AJ259" s="226">
        <f t="shared" si="199"/>
        <v>0.35893021098602479</v>
      </c>
      <c r="AK259" s="226">
        <f t="shared" si="199"/>
        <v>0.36420612454820167</v>
      </c>
      <c r="AL259" s="226">
        <f t="shared" si="199"/>
        <v>0.36948203811037839</v>
      </c>
      <c r="AM259" s="226">
        <f t="shared" si="199"/>
        <v>0.37541421119374041</v>
      </c>
      <c r="AN259" s="226">
        <f t="shared" si="199"/>
        <v>0.38134638427710243</v>
      </c>
      <c r="AO259" s="226">
        <f t="shared" si="200"/>
        <v>0.38727855736046446</v>
      </c>
      <c r="AP259" s="226">
        <f t="shared" si="200"/>
        <v>0.39321073044382648</v>
      </c>
      <c r="AQ259" s="226">
        <f t="shared" si="200"/>
        <v>0.39914290352718851</v>
      </c>
      <c r="AR259" s="226">
        <f t="shared" si="201"/>
        <v>0.40507507661055053</v>
      </c>
      <c r="AS259" s="226">
        <f t="shared" si="201"/>
        <v>0.41100724969391256</v>
      </c>
      <c r="AT259" s="226">
        <f t="shared" si="201"/>
        <v>0.41693942277727458</v>
      </c>
      <c r="AU259" s="226">
        <f t="shared" si="201"/>
        <v>0.42287159586063661</v>
      </c>
      <c r="AV259" s="226">
        <f t="shared" si="201"/>
        <v>0.42880376894399891</v>
      </c>
      <c r="AW259" s="226">
        <f t="shared" si="201"/>
        <v>0.42880376894399891</v>
      </c>
      <c r="AX259" s="226">
        <f t="shared" si="202"/>
        <v>0.43473594202736099</v>
      </c>
      <c r="AY259" s="226">
        <f t="shared" si="202"/>
        <v>0.44066811511072301</v>
      </c>
      <c r="AZ259" s="226">
        <f t="shared" si="202"/>
        <v>0.42880376894399891</v>
      </c>
      <c r="BA259" s="226">
        <f t="shared" si="202"/>
        <v>0.42880376894399891</v>
      </c>
      <c r="BB259" s="226">
        <f t="shared" si="202"/>
        <v>0.42880376894399891</v>
      </c>
      <c r="BC259" s="226">
        <f t="shared" si="202"/>
        <v>0.42880376894399891</v>
      </c>
      <c r="BD259" s="226">
        <f t="shared" si="202"/>
        <v>0.42880376894399891</v>
      </c>
    </row>
    <row r="260" spans="1:56">
      <c r="A260" s="225" t="s">
        <v>16</v>
      </c>
      <c r="E260" s="225" t="s">
        <v>449</v>
      </c>
      <c r="F260" s="225" t="s">
        <v>449</v>
      </c>
      <c r="G260" s="225" t="str">
        <f>G257</f>
        <v>high income</v>
      </c>
      <c r="H260" s="226" t="s">
        <v>446</v>
      </c>
      <c r="I260" s="225" t="str">
        <f>I257</f>
        <v>hhd-he</v>
      </c>
      <c r="J260" s="226">
        <f t="shared" si="196"/>
        <v>9.2242813513581462E-2</v>
      </c>
      <c r="K260" s="226">
        <f t="shared" si="197"/>
        <v>9.5158171595070951E-2</v>
      </c>
      <c r="L260" s="226">
        <f t="shared" si="197"/>
        <v>9.8073529676560439E-2</v>
      </c>
      <c r="M260" s="226">
        <f t="shared" si="197"/>
        <v>0.10098888775804991</v>
      </c>
      <c r="N260" s="226">
        <f t="shared" si="197"/>
        <v>5.0494443879024957E-2</v>
      </c>
      <c r="O260" s="226">
        <f t="shared" si="197"/>
        <v>0</v>
      </c>
      <c r="P260" s="226">
        <f t="shared" si="197"/>
        <v>3.2511650481686701E-2</v>
      </c>
      <c r="Q260" s="226">
        <f t="shared" si="197"/>
        <v>6.5023300963373401E-2</v>
      </c>
      <c r="R260" s="226">
        <f t="shared" si="197"/>
        <v>9.7534951445060095E-2</v>
      </c>
      <c r="S260" s="226">
        <f t="shared" si="197"/>
        <v>9.9737470448451784E-2</v>
      </c>
      <c r="T260" s="226">
        <f t="shared" si="197"/>
        <v>0.10193998945184347</v>
      </c>
      <c r="U260" s="226">
        <f t="shared" si="198"/>
        <v>0.10414250845523516</v>
      </c>
      <c r="V260" s="226">
        <f t="shared" si="198"/>
        <v>0.10634502745862685</v>
      </c>
      <c r="W260" s="226">
        <f t="shared" si="198"/>
        <v>0.10854754646201854</v>
      </c>
      <c r="X260" s="226">
        <f t="shared" si="198"/>
        <v>0.11075006546541023</v>
      </c>
      <c r="Y260" s="226">
        <f t="shared" si="198"/>
        <v>0.11295258446880192</v>
      </c>
      <c r="Z260" s="226">
        <f t="shared" si="198"/>
        <v>0.11515510347219361</v>
      </c>
      <c r="AA260" s="226">
        <f t="shared" si="198"/>
        <v>0.1173576224755853</v>
      </c>
      <c r="AB260" s="226">
        <f t="shared" si="198"/>
        <v>0.11956014147897695</v>
      </c>
      <c r="AC260" s="226">
        <f t="shared" si="198"/>
        <v>0.12191419781635696</v>
      </c>
      <c r="AD260" s="226">
        <f t="shared" si="198"/>
        <v>0.12426825415373696</v>
      </c>
      <c r="AE260" s="226">
        <f t="shared" si="199"/>
        <v>0.12662231049111697</v>
      </c>
      <c r="AF260" s="226">
        <f t="shared" si="199"/>
        <v>0.12897636682849697</v>
      </c>
      <c r="AG260" s="226">
        <f t="shared" si="199"/>
        <v>0.13133042316587698</v>
      </c>
      <c r="AH260" s="226">
        <f t="shared" si="199"/>
        <v>0.13368447950325699</v>
      </c>
      <c r="AI260" s="226">
        <f t="shared" si="199"/>
        <v>0.13603853584063699</v>
      </c>
      <c r="AJ260" s="226">
        <f t="shared" si="199"/>
        <v>0.138392592178017</v>
      </c>
      <c r="AK260" s="226">
        <f t="shared" si="199"/>
        <v>0.140746648515397</v>
      </c>
      <c r="AL260" s="226">
        <f t="shared" si="199"/>
        <v>0.14310070485277707</v>
      </c>
      <c r="AM260" s="226">
        <f t="shared" si="199"/>
        <v>0.14452682216338347</v>
      </c>
      <c r="AN260" s="226">
        <f t="shared" si="199"/>
        <v>0.14595293947398988</v>
      </c>
      <c r="AO260" s="226">
        <f t="shared" si="200"/>
        <v>0.14737905678459629</v>
      </c>
      <c r="AP260" s="226">
        <f t="shared" si="200"/>
        <v>0.14880517409520269</v>
      </c>
      <c r="AQ260" s="226">
        <f t="shared" si="200"/>
        <v>0.1502312914058091</v>
      </c>
      <c r="AR260" s="226">
        <f t="shared" si="201"/>
        <v>0.1516574087164155</v>
      </c>
      <c r="AS260" s="226">
        <f t="shared" si="201"/>
        <v>0.15308352602702191</v>
      </c>
      <c r="AT260" s="226">
        <f t="shared" si="201"/>
        <v>0.15450964333762832</v>
      </c>
      <c r="AU260" s="226">
        <f t="shared" si="201"/>
        <v>0.15593576064823472</v>
      </c>
      <c r="AV260" s="226">
        <f t="shared" si="201"/>
        <v>0.15736187795884113</v>
      </c>
      <c r="AW260" s="226">
        <f t="shared" si="201"/>
        <v>0.15736187795884113</v>
      </c>
      <c r="AX260" s="226">
        <f t="shared" si="202"/>
        <v>0.15878799526944753</v>
      </c>
      <c r="AY260" s="226">
        <f t="shared" si="202"/>
        <v>0.16021411258005394</v>
      </c>
      <c r="AZ260" s="226">
        <f t="shared" si="202"/>
        <v>0.15736187795884113</v>
      </c>
      <c r="BA260" s="226">
        <f t="shared" si="202"/>
        <v>0.15736187795884113</v>
      </c>
      <c r="BB260" s="226">
        <f t="shared" si="202"/>
        <v>0.15736187795884113</v>
      </c>
      <c r="BC260" s="226">
        <f t="shared" si="202"/>
        <v>0.15736187795884113</v>
      </c>
      <c r="BD260" s="226">
        <f t="shared" si="202"/>
        <v>0.15736187795884113</v>
      </c>
    </row>
    <row r="261" spans="1:56">
      <c r="A261" s="225" t="s">
        <v>16</v>
      </c>
    </row>
    <row r="262" spans="1:56">
      <c r="A262" s="225" t="s">
        <v>16</v>
      </c>
    </row>
    <row r="263" spans="1:56">
      <c r="A263" s="225" t="s">
        <v>16</v>
      </c>
    </row>
    <row r="264" spans="1:56">
      <c r="A264" s="225" t="s">
        <v>16</v>
      </c>
    </row>
    <row r="265" spans="1:56">
      <c r="A265" s="225" t="s">
        <v>16</v>
      </c>
    </row>
    <row r="266" spans="1:56">
      <c r="A266" s="225" t="s">
        <v>16</v>
      </c>
    </row>
    <row r="267" spans="1:56">
      <c r="A267" s="225" t="s">
        <v>16</v>
      </c>
    </row>
    <row r="268" spans="1:56">
      <c r="A268" s="225" t="s">
        <v>16</v>
      </c>
    </row>
    <row r="269" spans="1:56">
      <c r="A269" s="225" t="s">
        <v>16</v>
      </c>
    </row>
    <row r="270" spans="1:56">
      <c r="A270" s="225" t="s">
        <v>16</v>
      </c>
    </row>
    <row r="271" spans="1:56">
      <c r="A271" s="225" t="s">
        <v>16</v>
      </c>
    </row>
    <row r="272" spans="1:56">
      <c r="A272" s="225" t="s">
        <v>16</v>
      </c>
    </row>
    <row r="273" spans="1:1">
      <c r="A273" s="225" t="s">
        <v>16</v>
      </c>
    </row>
    <row r="274" spans="1:1">
      <c r="A274" s="225" t="s">
        <v>16</v>
      </c>
    </row>
    <row r="275" spans="1:1">
      <c r="A275" s="225" t="s">
        <v>16</v>
      </c>
    </row>
    <row r="276" spans="1:1">
      <c r="A276" s="225" t="s">
        <v>16</v>
      </c>
    </row>
    <row r="277" spans="1:1">
      <c r="A277" s="225" t="s">
        <v>16</v>
      </c>
    </row>
  </sheetData>
  <mergeCells count="1">
    <mergeCell ref="B2:C2"/>
  </mergeCells>
  <phoneticPr fontId="167" type="noConversion"/>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34" zoomScale="90" zoomScaleNormal="90" workbookViewId="0">
      <selection activeCell="K49" sqref="K49"/>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225"/>
    <col min="13" max="43" width="6.85546875" customWidth="1"/>
  </cols>
  <sheetData>
    <row r="1" spans="1:43" s="4" customFormat="1">
      <c r="A1" s="4" t="str">
        <f>IF(TRA,"TS DATA","")</f>
        <v>TS DATA</v>
      </c>
      <c r="B1" s="4" t="s">
        <v>17</v>
      </c>
      <c r="J1" s="41"/>
      <c r="L1" s="225"/>
    </row>
    <row r="2" spans="1:43" s="4" customFormat="1" ht="15.75" thickBot="1">
      <c r="A2" s="4" t="s">
        <v>16</v>
      </c>
      <c r="B2" s="304" t="s">
        <v>296</v>
      </c>
      <c r="C2" s="304"/>
      <c r="J2" s="41"/>
      <c r="L2" s="225"/>
    </row>
    <row r="3" spans="1:43">
      <c r="A3" s="4" t="s">
        <v>16</v>
      </c>
      <c r="B3" s="4"/>
      <c r="C3" s="4"/>
      <c r="D3" s="4"/>
      <c r="E3" s="4"/>
      <c r="F3" s="4"/>
      <c r="H3" s="4"/>
      <c r="I3" s="4"/>
      <c r="J3" s="225">
        <f>MATCH(J4,Drivers!$C$5:$AG$5,0)</f>
        <v>1</v>
      </c>
      <c r="K3" s="225">
        <f>MATCH(K4,Drivers!$C$5:$AG$5,0)</f>
        <v>4</v>
      </c>
      <c r="L3" s="225">
        <f>MATCH(L4,Drivers!$C$5:$AG$5,0)</f>
        <v>6</v>
      </c>
      <c r="M3" s="225">
        <f>MATCH(M4,Drivers!$C$5:$AG$5,0)</f>
        <v>9</v>
      </c>
      <c r="N3" s="225">
        <f>MATCH(N4,Drivers!$C$5:$AG$5,0)</f>
        <v>19</v>
      </c>
      <c r="O3" s="225">
        <f>MATCH(O4,Drivers!$C$5:$AG$5,0)</f>
        <v>29</v>
      </c>
      <c r="P3" s="225">
        <f>MATCH(P4,Drivers!$C$5:$AG$5,0)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70" t="s">
        <v>156</v>
      </c>
      <c r="C4" s="14"/>
      <c r="D4" s="14" t="s">
        <v>135</v>
      </c>
      <c r="E4" s="14"/>
      <c r="F4" s="14"/>
      <c r="G4" s="14"/>
      <c r="H4" s="14"/>
      <c r="I4" s="14" t="s">
        <v>135</v>
      </c>
      <c r="J4" s="225">
        <v>2012</v>
      </c>
      <c r="K4" s="225">
        <v>2015</v>
      </c>
      <c r="L4" s="225">
        <v>2017</v>
      </c>
      <c r="M4" s="225">
        <v>2020</v>
      </c>
      <c r="N4" s="225">
        <v>2030</v>
      </c>
      <c r="O4" s="225">
        <v>2040</v>
      </c>
      <c r="P4" s="225">
        <v>2050</v>
      </c>
      <c r="Q4" s="4"/>
      <c r="R4" s="4"/>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226" t="s">
        <v>631</v>
      </c>
      <c r="C5" s="226" t="s">
        <v>633</v>
      </c>
      <c r="D5" s="225">
        <f>MATCH(B5,Drivers!$A$7:$A$22,0)</f>
        <v>13</v>
      </c>
      <c r="E5" s="226"/>
      <c r="G5"/>
      <c r="J5" s="24">
        <f>INDEX(Drivers!$C$7:$AG$22,$D5,J$3)</f>
        <v>11.26</v>
      </c>
      <c r="K5" s="24">
        <f>INDEX(Drivers!$C$7:$AG$22,$D5,K$3)</f>
        <v>12.12</v>
      </c>
      <c r="L5" s="24">
        <f>INDEX(Drivers!$C$7:$AG$22,$D5,L$3)</f>
        <v>12.36</v>
      </c>
      <c r="M5" s="24">
        <f>INDEX(Drivers!$C$7:$AG$22,$D5,M$3)</f>
        <v>12</v>
      </c>
      <c r="N5" s="24">
        <f>INDEX(Drivers!$C$7:$AG$22,$D5,N$3)</f>
        <v>14.74</v>
      </c>
      <c r="O5" s="24">
        <f>INDEX(Drivers!$C$7:$AG$22,$D5,O$3)</f>
        <v>18.8</v>
      </c>
      <c r="P5" s="24">
        <f>INDEX(Drivers!$C$7:$AG$22,$D5,P$3)</f>
        <v>24.05</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6"/>
      <c r="K7" s="6"/>
      <c r="L7" s="226"/>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7" t="s">
        <v>93</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225" customFormat="1">
      <c r="A10" s="225" t="s">
        <v>16</v>
      </c>
      <c r="B10" s="57" t="s">
        <v>106</v>
      </c>
      <c r="D10" s="225">
        <v>1</v>
      </c>
      <c r="E10" s="225">
        <f t="shared" ref="E10" si="3">D10</f>
        <v>1</v>
      </c>
      <c r="F10" s="225">
        <f t="shared" ref="F10" si="4">E10</f>
        <v>1</v>
      </c>
      <c r="G10" s="225">
        <f t="shared" ref="G10" si="5">F10</f>
        <v>1</v>
      </c>
      <c r="H10" s="225">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5"/>
    </row>
    <row r="15" spans="1:43">
      <c r="A15" s="4" t="s">
        <v>16</v>
      </c>
      <c r="B15" s="4" t="s">
        <v>92</v>
      </c>
      <c r="E15" s="6"/>
      <c r="F15" s="6"/>
      <c r="G15" s="6"/>
      <c r="H15" s="6"/>
    </row>
    <row r="16" spans="1:43">
      <c r="A16" s="4" t="s">
        <v>16</v>
      </c>
      <c r="B16" s="225" t="s">
        <v>93</v>
      </c>
      <c r="C16" s="6">
        <v>1</v>
      </c>
      <c r="D16" s="6">
        <f>C16</f>
        <v>1</v>
      </c>
      <c r="E16" s="6">
        <f>D16</f>
        <v>1</v>
      </c>
      <c r="F16" s="6">
        <f>E16</f>
        <v>1</v>
      </c>
      <c r="G16" s="6">
        <f>F16</f>
        <v>1</v>
      </c>
      <c r="H16" s="6">
        <f>G16</f>
        <v>1</v>
      </c>
      <c r="I16" s="28" t="s">
        <v>38</v>
      </c>
      <c r="J16" s="135">
        <f>E22</f>
        <v>60.368000000000002</v>
      </c>
      <c r="K16" s="37">
        <f>J16*(1+$C$16*(K5/J5-1))</f>
        <v>64.978699822380108</v>
      </c>
      <c r="L16" s="37">
        <f>K16*(1+$C$16*(L5/K5-1))</f>
        <v>66.26540674955595</v>
      </c>
      <c r="M16" s="37">
        <f t="shared" ref="M16:P16" si="11">L16*(1+$C$16*(M5/L5-1))</f>
        <v>64.335346358792179</v>
      </c>
      <c r="N16" s="37">
        <f t="shared" si="11"/>
        <v>79.025250444049718</v>
      </c>
      <c r="O16" s="37">
        <f t="shared" si="11"/>
        <v>100.7920426287744</v>
      </c>
      <c r="P16" s="37">
        <f t="shared" si="11"/>
        <v>128.93875666074598</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225" t="s">
        <v>94</v>
      </c>
      <c r="C17" s="226">
        <v>1</v>
      </c>
      <c r="D17" s="226">
        <v>1</v>
      </c>
      <c r="E17" s="226">
        <v>1</v>
      </c>
      <c r="F17" s="226">
        <v>1</v>
      </c>
      <c r="G17" s="226">
        <v>1</v>
      </c>
      <c r="H17" s="226">
        <v>1</v>
      </c>
      <c r="I17" s="28" t="s">
        <v>38</v>
      </c>
      <c r="J17" s="135">
        <f>E23</f>
        <v>20.123000000000001</v>
      </c>
      <c r="K17" s="37">
        <f>J17*(1+$C$17*(K5/J5-1))</f>
        <v>21.659925399644763</v>
      </c>
      <c r="L17" s="37">
        <f t="shared" ref="L17:P17" si="12">K17*(1+$C$17*(L5/K5-1))</f>
        <v>22.088834813499115</v>
      </c>
      <c r="M17" s="37">
        <f t="shared" si="12"/>
        <v>21.445470692717588</v>
      </c>
      <c r="N17" s="37">
        <f t="shared" si="12"/>
        <v>26.342186500888104</v>
      </c>
      <c r="O17" s="37">
        <f t="shared" si="12"/>
        <v>33.597904085257554</v>
      </c>
      <c r="P17" s="37">
        <f t="shared" si="12"/>
        <v>42.980297513321496</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225" customFormat="1">
      <c r="A18" s="225" t="s">
        <v>16</v>
      </c>
      <c r="B18" s="225" t="s">
        <v>94</v>
      </c>
      <c r="C18" s="226">
        <v>1</v>
      </c>
      <c r="D18" s="226">
        <v>1</v>
      </c>
      <c r="E18" s="226">
        <v>1</v>
      </c>
      <c r="F18" s="226">
        <v>1</v>
      </c>
      <c r="G18" s="226">
        <v>1</v>
      </c>
      <c r="H18" s="226">
        <v>1</v>
      </c>
      <c r="I18" s="28" t="s">
        <v>38</v>
      </c>
      <c r="J18" s="135">
        <f>E24</f>
        <v>1.0701311035156249</v>
      </c>
      <c r="K18" s="37">
        <f>J18*(1+$C$18*(K5/J5-1))</f>
        <v>1.1518640297166407</v>
      </c>
      <c r="L18" s="37">
        <f t="shared" ref="L18:P18" si="13">K18*(1+$C$18*(L5/K5-1))</f>
        <v>1.174673218423901</v>
      </c>
      <c r="M18" s="37">
        <f t="shared" si="13"/>
        <v>1.1404594353630106</v>
      </c>
      <c r="N18" s="37">
        <f t="shared" si="13"/>
        <v>1.400864339770898</v>
      </c>
      <c r="O18" s="37">
        <f t="shared" si="13"/>
        <v>1.7867197820687164</v>
      </c>
      <c r="P18" s="37">
        <f t="shared" si="13"/>
        <v>2.2856707850400335</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225"/>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226" t="str">
        <f>ITEMS_TRA!C30</f>
        <v>TAIJET</v>
      </c>
      <c r="C22" s="226" t="str">
        <f>ITEMS_TRA!D30</f>
        <v xml:space="preserve">Transport Other -  Aviation Int Jet Fuel </v>
      </c>
      <c r="D22" s="28" t="s">
        <v>38</v>
      </c>
      <c r="E22" s="213">
        <f>'[3]TS BYDem'!$J34</f>
        <v>60.368000000000002</v>
      </c>
      <c r="F22" s="6"/>
      <c r="G22"/>
      <c r="J22" s="6">
        <f>E22</f>
        <v>60.368000000000002</v>
      </c>
      <c r="K22" s="226">
        <f t="shared" ref="K22:P22" si="14">(K16*K9)</f>
        <v>64.978699822380108</v>
      </c>
      <c r="L22" s="259">
        <v>68.939278175231294</v>
      </c>
      <c r="M22" s="226">
        <f t="shared" si="14"/>
        <v>64.335346358792179</v>
      </c>
      <c r="N22" s="226">
        <f t="shared" si="14"/>
        <v>79.025250444049718</v>
      </c>
      <c r="O22" s="226">
        <f t="shared" si="14"/>
        <v>100.7920426287744</v>
      </c>
      <c r="P22" s="226">
        <f t="shared" si="14"/>
        <v>128.93875666074598</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225" customFormat="1">
      <c r="A23" s="225" t="s">
        <v>16</v>
      </c>
      <c r="B23" s="226" t="str">
        <f>ITEMS_TRA!C31</f>
        <v>TADJET</v>
      </c>
      <c r="C23" s="226" t="str">
        <f>ITEMS_TRA!D31</f>
        <v xml:space="preserve">Transport Other -  Aviation Dom Jet Fuel </v>
      </c>
      <c r="D23" s="28" t="s">
        <v>38</v>
      </c>
      <c r="E23" s="213">
        <f>'[3]TS BYDem'!$J35</f>
        <v>20.123000000000001</v>
      </c>
      <c r="F23" s="226"/>
      <c r="J23" s="226">
        <f t="shared" ref="J23:J24" si="15">E23</f>
        <v>20.123000000000001</v>
      </c>
      <c r="K23" s="226">
        <f>(K17*K10)</f>
        <v>21.659925399644763</v>
      </c>
      <c r="L23" s="24">
        <v>20.465228059152793</v>
      </c>
      <c r="M23" s="226">
        <f t="shared" ref="M23:P23" si="16">(M17*M10)</f>
        <v>21.445470692717588</v>
      </c>
      <c r="N23" s="226">
        <f t="shared" si="16"/>
        <v>26.342186500888104</v>
      </c>
      <c r="O23" s="226">
        <f t="shared" si="16"/>
        <v>33.597904085257554</v>
      </c>
      <c r="P23" s="226">
        <f t="shared" si="16"/>
        <v>42.980297513321496</v>
      </c>
      <c r="Q23" s="226"/>
      <c r="R23" s="226"/>
      <c r="S23" s="226"/>
      <c r="T23" s="226"/>
      <c r="U23" s="226"/>
      <c r="V23" s="226"/>
      <c r="W23" s="226"/>
      <c r="X23" s="226"/>
      <c r="Y23" s="226"/>
      <c r="Z23" s="226"/>
      <c r="AA23" s="226"/>
      <c r="AB23" s="226"/>
      <c r="AC23" s="226"/>
      <c r="AD23" s="226"/>
      <c r="AE23" s="226"/>
      <c r="AF23" s="226"/>
      <c r="AG23" s="226"/>
      <c r="AH23" s="226"/>
      <c r="AI23" s="226"/>
      <c r="AJ23" s="226"/>
      <c r="AK23" s="226"/>
      <c r="AL23" s="226"/>
      <c r="AM23" s="226"/>
      <c r="AN23" s="226"/>
      <c r="AO23" s="226"/>
      <c r="AP23" s="226"/>
      <c r="AQ23" s="226"/>
    </row>
    <row r="24" spans="1:43" s="225" customFormat="1">
      <c r="A24" s="225" t="s">
        <v>16</v>
      </c>
      <c r="B24" s="226" t="str">
        <f>ITEMS_TRA!C32</f>
        <v>TAOAG</v>
      </c>
      <c r="C24" s="226" t="str">
        <f>ITEMS_TRA!D32</f>
        <v>Transport Other - Aviation Gasoline</v>
      </c>
      <c r="D24" s="28" t="s">
        <v>38</v>
      </c>
      <c r="E24" s="213">
        <f>'[3]TS BYDem'!$J36</f>
        <v>1.0701311035156249</v>
      </c>
      <c r="F24" s="226"/>
      <c r="J24" s="226">
        <f t="shared" si="15"/>
        <v>1.0701311035156249</v>
      </c>
      <c r="K24" s="226">
        <f>(K18*K11)</f>
        <v>1.1518640297166407</v>
      </c>
      <c r="L24" s="226">
        <f t="shared" ref="L24:P24" si="17">(L18*L11)</f>
        <v>1.174673218423901</v>
      </c>
      <c r="M24" s="226">
        <f t="shared" si="17"/>
        <v>1.1404594353630106</v>
      </c>
      <c r="N24" s="226">
        <f t="shared" si="17"/>
        <v>1.400864339770898</v>
      </c>
      <c r="O24" s="226">
        <f t="shared" si="17"/>
        <v>1.7867197820687164</v>
      </c>
      <c r="P24" s="226">
        <f t="shared" si="17"/>
        <v>2.2856707850400335</v>
      </c>
      <c r="Q24" s="226"/>
      <c r="R24" s="226"/>
      <c r="S24" s="226"/>
      <c r="T24" s="226"/>
      <c r="U24" s="226"/>
      <c r="V24" s="226"/>
      <c r="W24" s="226"/>
      <c r="X24" s="226"/>
      <c r="Y24" s="226"/>
      <c r="Z24" s="226"/>
      <c r="AA24" s="226"/>
      <c r="AB24" s="226"/>
      <c r="AC24" s="226"/>
      <c r="AD24" s="226"/>
      <c r="AE24" s="226"/>
      <c r="AF24" s="226"/>
      <c r="AG24" s="226"/>
      <c r="AH24" s="226"/>
      <c r="AI24" s="226"/>
      <c r="AJ24" s="226"/>
      <c r="AK24" s="226"/>
      <c r="AL24" s="226"/>
      <c r="AM24" s="226"/>
      <c r="AN24" s="226"/>
      <c r="AO24" s="226"/>
      <c r="AP24" s="226"/>
      <c r="AQ24" s="226"/>
    </row>
    <row r="25" spans="1:43" s="225" customFormat="1">
      <c r="D25" s="28"/>
      <c r="E25" s="62"/>
      <c r="F25" s="226"/>
      <c r="J25" s="226"/>
      <c r="K25" s="226"/>
      <c r="L25" s="226"/>
      <c r="M25" s="226"/>
      <c r="N25" s="226"/>
      <c r="O25" s="226"/>
      <c r="P25" s="226"/>
      <c r="Q25" s="226"/>
      <c r="R25" s="226"/>
      <c r="S25" s="226"/>
      <c r="T25" s="226"/>
      <c r="U25" s="226"/>
      <c r="V25" s="226"/>
      <c r="W25" s="226"/>
      <c r="X25" s="226"/>
      <c r="Y25" s="226"/>
      <c r="Z25" s="226"/>
      <c r="AA25" s="226"/>
      <c r="AB25" s="226"/>
      <c r="AC25" s="226"/>
      <c r="AD25" s="226"/>
      <c r="AE25" s="226"/>
      <c r="AF25" s="226"/>
      <c r="AG25" s="226"/>
      <c r="AH25" s="226"/>
      <c r="AI25" s="226"/>
      <c r="AJ25" s="226"/>
      <c r="AK25" s="226"/>
      <c r="AL25" s="226"/>
      <c r="AM25" s="226"/>
      <c r="AN25" s="226"/>
      <c r="AO25" s="226"/>
      <c r="AP25" s="226"/>
      <c r="AQ25" s="226"/>
    </row>
    <row r="26" spans="1:43" ht="18" thickBot="1">
      <c r="A26" s="4" t="s">
        <v>16</v>
      </c>
      <c r="B26" s="70" t="s">
        <v>634</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226" t="s">
        <v>632</v>
      </c>
      <c r="C28" s="226" t="s">
        <v>634</v>
      </c>
      <c r="D28" s="225">
        <f>MATCH(B28,Drivers!$A$7:$A$22,0)</f>
        <v>16</v>
      </c>
      <c r="E28" s="226"/>
      <c r="F28" s="225"/>
      <c r="G28" s="225"/>
      <c r="H28" s="225"/>
      <c r="I28" s="225"/>
      <c r="J28" s="226">
        <f>INDEX(Drivers!$C$7:$AG$22,$D28,J$3)</f>
        <v>1.1399999999999999</v>
      </c>
      <c r="K28" s="226">
        <f>INDEX(Drivers!$C$7:$AG$22,$D28,K$3)</f>
        <v>1.1299999999999999</v>
      </c>
      <c r="L28" s="226">
        <f>INDEX(Drivers!$C$7:$AG$22,$D28,L$3)</f>
        <v>1.1499999999999999</v>
      </c>
      <c r="M28" s="226">
        <f>INDEX(Drivers!$C$7:$AG$22,$D28,M$3)</f>
        <v>0.99</v>
      </c>
      <c r="N28" s="226">
        <f>INDEX(Drivers!$C$7:$AG$22,$D28,N$3)</f>
        <v>1.1599999999999999</v>
      </c>
      <c r="O28" s="226">
        <f>INDEX(Drivers!$C$7:$AG$22,$D28,O$3)</f>
        <v>1.65</v>
      </c>
      <c r="P28" s="226">
        <f>INDEX(Drivers!$C$7:$AG$22,$D28,P$3)</f>
        <v>2.66</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9" t="s">
        <v>155</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2">
        <f>'[3]TS BYDem'!$J$33</f>
        <v>0.820564128</v>
      </c>
      <c r="J33" s="226">
        <f>E33</f>
        <v>0.820564128</v>
      </c>
      <c r="K33" s="226">
        <f>J33</f>
        <v>0.820564128</v>
      </c>
      <c r="L33" s="226">
        <f>K33</f>
        <v>0.820564128</v>
      </c>
      <c r="M33" s="226">
        <f>K33</f>
        <v>0.820564128</v>
      </c>
      <c r="N33" s="226">
        <f t="shared" ref="N33:P33" si="18">M33</f>
        <v>0.820564128</v>
      </c>
      <c r="O33" s="226">
        <f t="shared" si="18"/>
        <v>0.820564128</v>
      </c>
      <c r="P33" s="226">
        <f t="shared" si="18"/>
        <v>0.820564128</v>
      </c>
    </row>
    <row r="34" spans="1:78">
      <c r="A34" s="4" t="s">
        <v>16</v>
      </c>
    </row>
    <row r="35" spans="1:78" ht="18" thickBot="1">
      <c r="A35" s="4" t="s">
        <v>16</v>
      </c>
      <c r="C35" s="70" t="s">
        <v>157</v>
      </c>
    </row>
    <row r="36" spans="1:78" ht="15.75" thickTop="1">
      <c r="A36" s="4" t="s">
        <v>16</v>
      </c>
      <c r="B36" s="4" t="s">
        <v>158</v>
      </c>
      <c r="C36" s="4" t="s">
        <v>159</v>
      </c>
      <c r="D36" s="28" t="s">
        <v>38</v>
      </c>
      <c r="E36" s="62">
        <f>'[3]TS BYDem'!$J$37</f>
        <v>4.5090000000000003</v>
      </c>
      <c r="J36" s="6">
        <f>E36</f>
        <v>4.5090000000000003</v>
      </c>
      <c r="K36" s="6">
        <f>K$28/J$28*J36</f>
        <v>4.4694473684210525</v>
      </c>
      <c r="L36" s="226">
        <f>L$28/K$28*K36</f>
        <v>4.5485526315789473</v>
      </c>
      <c r="M36" s="226">
        <f>M$28/K$28*K36</f>
        <v>3.9157105263157894</v>
      </c>
      <c r="N36" s="226">
        <f t="shared" ref="N36:P36" si="19">N$28/M$28*M36</f>
        <v>4.5881052631578942</v>
      </c>
      <c r="O36" s="226">
        <f t="shared" si="19"/>
        <v>6.5261842105263153</v>
      </c>
      <c r="P36" s="226">
        <f t="shared" si="19"/>
        <v>10.521000000000001</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225" customFormat="1"/>
    <row r="39" spans="1:78" s="225" customFormat="1"/>
    <row r="40" spans="1:78" s="225" customFormat="1"/>
    <row r="42" spans="1:78" s="225" customFormat="1" ht="23.25">
      <c r="A42" s="136" t="s">
        <v>16</v>
      </c>
      <c r="B42" s="140" t="s">
        <v>19</v>
      </c>
      <c r="C42" s="140" t="s">
        <v>20</v>
      </c>
      <c r="D42" s="140" t="s">
        <v>21</v>
      </c>
      <c r="E42" s="140"/>
      <c r="F42" s="140" t="s">
        <v>22</v>
      </c>
      <c r="G42" s="140" t="s">
        <v>23</v>
      </c>
      <c r="H42" s="140" t="s">
        <v>24</v>
      </c>
      <c r="I42" s="141" t="s">
        <v>25</v>
      </c>
      <c r="J42" s="228">
        <v>2012</v>
      </c>
      <c r="K42" s="228">
        <v>2013</v>
      </c>
      <c r="L42" s="228">
        <v>2014</v>
      </c>
      <c r="M42" s="228">
        <v>2015</v>
      </c>
      <c r="N42" s="228">
        <v>2016</v>
      </c>
      <c r="O42" s="228">
        <v>2017</v>
      </c>
      <c r="P42" s="228">
        <v>2018</v>
      </c>
      <c r="Q42" s="228">
        <v>2019</v>
      </c>
      <c r="R42" s="228">
        <v>2020</v>
      </c>
      <c r="S42" s="228">
        <v>2021</v>
      </c>
      <c r="T42" s="228">
        <v>2022</v>
      </c>
      <c r="U42" s="228">
        <v>2023</v>
      </c>
      <c r="V42" s="228">
        <v>2024</v>
      </c>
      <c r="W42" s="228">
        <v>2025</v>
      </c>
      <c r="X42" s="228">
        <v>2026</v>
      </c>
      <c r="Y42" s="228">
        <v>2027</v>
      </c>
      <c r="Z42" s="228">
        <v>2028</v>
      </c>
      <c r="AA42" s="228">
        <v>2029</v>
      </c>
      <c r="AB42" s="228">
        <v>2030</v>
      </c>
      <c r="AC42" s="228">
        <v>2031</v>
      </c>
      <c r="AD42" s="228">
        <v>2032</v>
      </c>
      <c r="AE42" s="228">
        <v>2033</v>
      </c>
      <c r="AF42" s="228">
        <v>2034</v>
      </c>
      <c r="AG42" s="228">
        <v>2035</v>
      </c>
      <c r="AH42" s="228">
        <v>2036</v>
      </c>
      <c r="AI42" s="228">
        <v>2037</v>
      </c>
      <c r="AJ42" s="228">
        <v>2038</v>
      </c>
      <c r="AK42" s="228">
        <v>2039</v>
      </c>
      <c r="AL42" s="228">
        <v>2040</v>
      </c>
      <c r="AM42" s="228">
        <v>2045</v>
      </c>
      <c r="AN42" s="228">
        <v>2050</v>
      </c>
      <c r="AO42" s="228">
        <v>2060</v>
      </c>
      <c r="AP42" s="228">
        <v>2070</v>
      </c>
    </row>
    <row r="43" spans="1:78" s="231" customFormat="1">
      <c r="A43" s="136" t="s">
        <v>16</v>
      </c>
      <c r="B43" s="137">
        <v>1</v>
      </c>
      <c r="C43" s="231">
        <v>2012</v>
      </c>
      <c r="D43" s="231">
        <v>2015</v>
      </c>
      <c r="E43" s="231">
        <v>2017</v>
      </c>
      <c r="F43" s="231">
        <v>2020</v>
      </c>
      <c r="G43" s="137">
        <v>2030</v>
      </c>
      <c r="H43" s="231">
        <v>2040</v>
      </c>
      <c r="I43" s="142">
        <v>2050</v>
      </c>
      <c r="J43" s="231">
        <f t="shared" ref="J43:S44" si="20">MATCH(J$42,$C$43:$I$43,$B43)</f>
        <v>1</v>
      </c>
      <c r="K43" s="231">
        <f t="shared" si="20"/>
        <v>1</v>
      </c>
      <c r="L43" s="231">
        <f t="shared" si="20"/>
        <v>1</v>
      </c>
      <c r="M43" s="231">
        <f t="shared" si="20"/>
        <v>2</v>
      </c>
      <c r="N43" s="231">
        <f t="shared" si="20"/>
        <v>2</v>
      </c>
      <c r="O43" s="231">
        <f t="shared" si="20"/>
        <v>3</v>
      </c>
      <c r="P43" s="231">
        <f t="shared" si="20"/>
        <v>3</v>
      </c>
      <c r="Q43" s="231">
        <f t="shared" si="20"/>
        <v>3</v>
      </c>
      <c r="R43" s="231">
        <f t="shared" si="20"/>
        <v>4</v>
      </c>
      <c r="S43" s="231">
        <f t="shared" si="20"/>
        <v>4</v>
      </c>
      <c r="T43" s="231">
        <f t="shared" ref="T43:AC44" si="21">MATCH(T$42,$C$43:$I$43,$B43)</f>
        <v>4</v>
      </c>
      <c r="U43" s="231">
        <f t="shared" si="21"/>
        <v>4</v>
      </c>
      <c r="V43" s="231">
        <f t="shared" si="21"/>
        <v>4</v>
      </c>
      <c r="W43" s="231">
        <f t="shared" si="21"/>
        <v>4</v>
      </c>
      <c r="X43" s="231">
        <f t="shared" si="21"/>
        <v>4</v>
      </c>
      <c r="Y43" s="231">
        <f t="shared" si="21"/>
        <v>4</v>
      </c>
      <c r="Z43" s="231">
        <f t="shared" si="21"/>
        <v>4</v>
      </c>
      <c r="AA43" s="231">
        <f t="shared" si="21"/>
        <v>4</v>
      </c>
      <c r="AB43" s="231">
        <f t="shared" si="21"/>
        <v>5</v>
      </c>
      <c r="AC43" s="231">
        <f t="shared" si="21"/>
        <v>5</v>
      </c>
      <c r="AD43" s="231">
        <f t="shared" ref="AD43:AP44" si="22">MATCH(AD$42,$C$43:$I$43,$B43)</f>
        <v>5</v>
      </c>
      <c r="AE43" s="231">
        <f t="shared" si="22"/>
        <v>5</v>
      </c>
      <c r="AF43" s="231">
        <f t="shared" si="22"/>
        <v>5</v>
      </c>
      <c r="AG43" s="231">
        <f t="shared" si="22"/>
        <v>5</v>
      </c>
      <c r="AH43" s="231">
        <f t="shared" si="22"/>
        <v>5</v>
      </c>
      <c r="AI43" s="231">
        <f t="shared" si="22"/>
        <v>5</v>
      </c>
      <c r="AJ43" s="231">
        <f t="shared" si="22"/>
        <v>5</v>
      </c>
      <c r="AK43" s="231">
        <f t="shared" si="22"/>
        <v>5</v>
      </c>
      <c r="AL43" s="231">
        <f t="shared" si="22"/>
        <v>6</v>
      </c>
      <c r="AM43" s="231">
        <f t="shared" si="22"/>
        <v>6</v>
      </c>
      <c r="AN43" s="231">
        <f t="shared" si="22"/>
        <v>7</v>
      </c>
      <c r="AO43" s="231">
        <f t="shared" si="22"/>
        <v>7</v>
      </c>
      <c r="AP43" s="231">
        <f t="shared" si="22"/>
        <v>7</v>
      </c>
      <c r="AR43" s="225"/>
      <c r="AS43" s="225"/>
      <c r="AT43" s="225"/>
      <c r="AU43" s="225"/>
      <c r="AV43" s="225"/>
      <c r="AW43" s="225"/>
      <c r="AX43" s="225"/>
      <c r="AY43" s="225"/>
      <c r="AZ43" s="225"/>
      <c r="BA43" s="225"/>
      <c r="BB43" s="225"/>
      <c r="BC43" s="225"/>
      <c r="BD43" s="225"/>
      <c r="BE43" s="225"/>
      <c r="BF43" s="225"/>
      <c r="BG43" s="225"/>
      <c r="BH43" s="225"/>
      <c r="BI43" s="225"/>
      <c r="BJ43" s="225"/>
      <c r="BK43" s="225"/>
      <c r="BL43" s="225"/>
      <c r="BM43" s="225"/>
      <c r="BN43" s="225"/>
      <c r="BO43" s="225"/>
      <c r="BP43" s="225"/>
      <c r="BQ43" s="225"/>
      <c r="BR43" s="225"/>
      <c r="BS43" s="225"/>
      <c r="BT43" s="225"/>
      <c r="BU43" s="225"/>
      <c r="BV43" s="225"/>
      <c r="BW43" s="225"/>
      <c r="BX43" s="225"/>
      <c r="BY43" s="225"/>
      <c r="BZ43" s="225"/>
    </row>
    <row r="44" spans="1:78" s="227" customFormat="1">
      <c r="A44" s="41" t="s">
        <v>16</v>
      </c>
      <c r="B44" s="228">
        <v>0</v>
      </c>
      <c r="C44" s="227">
        <f t="shared" ref="C44:H44" si="23">INDEX($C43:$I43,0,COUNT($C43:$I43)-C45)</f>
        <v>2050</v>
      </c>
      <c r="D44" s="227">
        <f t="shared" si="23"/>
        <v>2040</v>
      </c>
      <c r="E44" s="227">
        <f t="shared" si="23"/>
        <v>2030</v>
      </c>
      <c r="F44" s="227">
        <f t="shared" si="23"/>
        <v>2020</v>
      </c>
      <c r="G44" s="227">
        <f t="shared" si="23"/>
        <v>2017</v>
      </c>
      <c r="H44" s="227">
        <f t="shared" si="23"/>
        <v>2015</v>
      </c>
      <c r="I44" s="143">
        <v>2012</v>
      </c>
      <c r="J44" s="41">
        <f t="shared" si="20"/>
        <v>1</v>
      </c>
      <c r="K44" s="227" t="e">
        <f t="shared" si="20"/>
        <v>#N/A</v>
      </c>
      <c r="L44" s="227" t="e">
        <f t="shared" si="20"/>
        <v>#N/A</v>
      </c>
      <c r="M44" s="227">
        <f t="shared" si="20"/>
        <v>2</v>
      </c>
      <c r="N44" s="227" t="e">
        <f t="shared" si="20"/>
        <v>#N/A</v>
      </c>
      <c r="O44" s="227">
        <f t="shared" si="20"/>
        <v>3</v>
      </c>
      <c r="P44" s="227" t="e">
        <f t="shared" si="20"/>
        <v>#N/A</v>
      </c>
      <c r="Q44" s="227" t="e">
        <f t="shared" si="20"/>
        <v>#N/A</v>
      </c>
      <c r="R44" s="227">
        <f t="shared" si="20"/>
        <v>4</v>
      </c>
      <c r="S44" s="227" t="e">
        <f t="shared" si="20"/>
        <v>#N/A</v>
      </c>
      <c r="T44" s="227" t="e">
        <f t="shared" si="21"/>
        <v>#N/A</v>
      </c>
      <c r="U44" s="227" t="e">
        <f t="shared" si="21"/>
        <v>#N/A</v>
      </c>
      <c r="V44" s="227" t="e">
        <f t="shared" si="21"/>
        <v>#N/A</v>
      </c>
      <c r="W44" s="227" t="e">
        <f t="shared" si="21"/>
        <v>#N/A</v>
      </c>
      <c r="X44" s="227" t="e">
        <f t="shared" si="21"/>
        <v>#N/A</v>
      </c>
      <c r="Y44" s="227" t="e">
        <f t="shared" si="21"/>
        <v>#N/A</v>
      </c>
      <c r="Z44" s="227" t="e">
        <f t="shared" si="21"/>
        <v>#N/A</v>
      </c>
      <c r="AA44" s="227" t="e">
        <f t="shared" si="21"/>
        <v>#N/A</v>
      </c>
      <c r="AB44" s="227">
        <f t="shared" si="21"/>
        <v>5</v>
      </c>
      <c r="AC44" s="227" t="e">
        <f t="shared" si="21"/>
        <v>#N/A</v>
      </c>
      <c r="AD44" s="227" t="e">
        <f t="shared" si="22"/>
        <v>#N/A</v>
      </c>
      <c r="AE44" s="227" t="e">
        <f t="shared" si="22"/>
        <v>#N/A</v>
      </c>
      <c r="AF44" s="227" t="e">
        <f t="shared" si="22"/>
        <v>#N/A</v>
      </c>
      <c r="AG44" s="227" t="e">
        <f t="shared" si="22"/>
        <v>#N/A</v>
      </c>
      <c r="AH44" s="227" t="e">
        <f t="shared" si="22"/>
        <v>#N/A</v>
      </c>
      <c r="AI44" s="227" t="e">
        <f t="shared" si="22"/>
        <v>#N/A</v>
      </c>
      <c r="AJ44" s="227" t="e">
        <f t="shared" si="22"/>
        <v>#N/A</v>
      </c>
      <c r="AK44" s="227" t="e">
        <f t="shared" si="22"/>
        <v>#N/A</v>
      </c>
      <c r="AL44" s="227">
        <f t="shared" si="22"/>
        <v>6</v>
      </c>
      <c r="AM44" s="227" t="e">
        <f t="shared" si="22"/>
        <v>#N/A</v>
      </c>
      <c r="AN44" s="227">
        <f t="shared" si="22"/>
        <v>7</v>
      </c>
      <c r="AO44" s="227" t="e">
        <f t="shared" si="22"/>
        <v>#N/A</v>
      </c>
      <c r="AP44" s="227" t="e">
        <f t="shared" si="22"/>
        <v>#N/A</v>
      </c>
      <c r="AR44" s="225"/>
      <c r="AS44" s="225"/>
      <c r="AT44" s="225"/>
      <c r="AU44" s="225"/>
      <c r="AV44" s="225"/>
      <c r="AW44" s="225"/>
      <c r="AX44" s="225"/>
      <c r="AY44" s="225"/>
      <c r="AZ44" s="225"/>
      <c r="BA44" s="225"/>
      <c r="BB44" s="225"/>
      <c r="BC44" s="225"/>
      <c r="BD44" s="225"/>
      <c r="BE44" s="225"/>
      <c r="BF44" s="225"/>
      <c r="BG44" s="225"/>
      <c r="BH44" s="225"/>
      <c r="BI44" s="225"/>
      <c r="BJ44" s="225"/>
      <c r="BK44" s="225"/>
      <c r="BL44" s="225"/>
      <c r="BM44" s="225"/>
      <c r="BN44" s="225"/>
      <c r="BO44" s="225"/>
      <c r="BP44" s="225"/>
      <c r="BQ44" s="225"/>
      <c r="BR44" s="225"/>
      <c r="BS44" s="225"/>
      <c r="BT44" s="225"/>
      <c r="BU44" s="225"/>
      <c r="BV44" s="225"/>
      <c r="BW44" s="225"/>
      <c r="BX44" s="225"/>
      <c r="BY44" s="225"/>
      <c r="BZ44" s="225"/>
    </row>
    <row r="45" spans="1:78" s="227" customFormat="1">
      <c r="A45" s="41" t="s">
        <v>16</v>
      </c>
      <c r="B45" s="228">
        <v>-1</v>
      </c>
      <c r="C45" s="227">
        <v>0</v>
      </c>
      <c r="D45" s="227">
        <v>1</v>
      </c>
      <c r="E45" s="228">
        <v>2</v>
      </c>
      <c r="F45" s="227">
        <v>3</v>
      </c>
      <c r="G45" s="227">
        <v>4</v>
      </c>
      <c r="H45" s="227">
        <v>5</v>
      </c>
      <c r="I45" s="227">
        <v>6</v>
      </c>
      <c r="J45" s="41">
        <f t="shared" ref="J45:AP45" si="24">MATCH(J$42,$C$44:$I$44,$B45)</f>
        <v>7</v>
      </c>
      <c r="K45" s="227">
        <f t="shared" si="24"/>
        <v>6</v>
      </c>
      <c r="L45" s="227">
        <f t="shared" si="24"/>
        <v>6</v>
      </c>
      <c r="M45" s="227">
        <f t="shared" si="24"/>
        <v>6</v>
      </c>
      <c r="N45" s="227">
        <f t="shared" si="24"/>
        <v>5</v>
      </c>
      <c r="O45" s="227">
        <f t="shared" si="24"/>
        <v>5</v>
      </c>
      <c r="P45" s="227">
        <f t="shared" si="24"/>
        <v>4</v>
      </c>
      <c r="Q45" s="227">
        <f t="shared" si="24"/>
        <v>4</v>
      </c>
      <c r="R45" s="227">
        <f t="shared" si="24"/>
        <v>4</v>
      </c>
      <c r="S45" s="227">
        <f t="shared" si="24"/>
        <v>3</v>
      </c>
      <c r="T45" s="227">
        <f t="shared" si="24"/>
        <v>3</v>
      </c>
      <c r="U45" s="227">
        <f t="shared" si="24"/>
        <v>3</v>
      </c>
      <c r="V45" s="227">
        <f t="shared" si="24"/>
        <v>3</v>
      </c>
      <c r="W45" s="227">
        <f t="shared" si="24"/>
        <v>3</v>
      </c>
      <c r="X45" s="227">
        <f t="shared" si="24"/>
        <v>3</v>
      </c>
      <c r="Y45" s="227">
        <f t="shared" si="24"/>
        <v>3</v>
      </c>
      <c r="Z45" s="227">
        <f t="shared" si="24"/>
        <v>3</v>
      </c>
      <c r="AA45" s="227">
        <f t="shared" si="24"/>
        <v>3</v>
      </c>
      <c r="AB45" s="227">
        <f t="shared" si="24"/>
        <v>3</v>
      </c>
      <c r="AC45" s="227">
        <f t="shared" si="24"/>
        <v>2</v>
      </c>
      <c r="AD45" s="227">
        <f t="shared" si="24"/>
        <v>2</v>
      </c>
      <c r="AE45" s="227">
        <f t="shared" si="24"/>
        <v>2</v>
      </c>
      <c r="AF45" s="227">
        <f t="shared" si="24"/>
        <v>2</v>
      </c>
      <c r="AG45" s="227">
        <f t="shared" si="24"/>
        <v>2</v>
      </c>
      <c r="AH45" s="227">
        <f t="shared" si="24"/>
        <v>2</v>
      </c>
      <c r="AI45" s="227">
        <f t="shared" si="24"/>
        <v>2</v>
      </c>
      <c r="AJ45" s="227">
        <f t="shared" si="24"/>
        <v>2</v>
      </c>
      <c r="AK45" s="227">
        <f t="shared" si="24"/>
        <v>2</v>
      </c>
      <c r="AL45" s="227">
        <f t="shared" si="24"/>
        <v>2</v>
      </c>
      <c r="AM45" s="227">
        <f t="shared" si="24"/>
        <v>1</v>
      </c>
      <c r="AN45" s="227">
        <f t="shared" si="24"/>
        <v>1</v>
      </c>
      <c r="AO45" s="227" t="e">
        <f t="shared" si="24"/>
        <v>#N/A</v>
      </c>
      <c r="AP45" s="227" t="e">
        <f t="shared" si="24"/>
        <v>#N/A</v>
      </c>
      <c r="AR45" s="225"/>
      <c r="AS45" s="225"/>
      <c r="AT45" s="225"/>
      <c r="AU45" s="225"/>
      <c r="AV45" s="225"/>
      <c r="AW45" s="225"/>
      <c r="AX45" s="225"/>
      <c r="AY45" s="225"/>
      <c r="AZ45" s="225"/>
      <c r="BA45" s="225"/>
      <c r="BB45" s="225"/>
      <c r="BC45" s="225"/>
      <c r="BD45" s="225"/>
      <c r="BE45" s="225"/>
      <c r="BF45" s="225"/>
      <c r="BG45" s="225"/>
      <c r="BH45" s="225"/>
      <c r="BI45" s="225"/>
      <c r="BJ45" s="225"/>
      <c r="BK45" s="225"/>
      <c r="BL45" s="225"/>
      <c r="BM45" s="225"/>
      <c r="BN45" s="225"/>
      <c r="BO45" s="225"/>
      <c r="BP45" s="225"/>
      <c r="BQ45" s="225"/>
      <c r="BR45" s="225"/>
      <c r="BS45" s="225"/>
      <c r="BT45" s="225"/>
      <c r="BU45" s="225"/>
      <c r="BV45" s="225"/>
      <c r="BW45" s="225"/>
      <c r="BX45" s="225"/>
      <c r="BY45" s="225"/>
      <c r="BZ45" s="225"/>
    </row>
    <row r="46" spans="1:78" s="139" customFormat="1">
      <c r="A46" s="138" t="s">
        <v>16</v>
      </c>
      <c r="I46" s="144"/>
      <c r="J46" s="229">
        <f t="shared" ref="J46:K46" si="25">IF(ISNA(J43),-1,IF(ISNA(J45),99,IF(ISNA(J44),J43,0)))</f>
        <v>0</v>
      </c>
      <c r="K46" s="229">
        <f t="shared" si="25"/>
        <v>1</v>
      </c>
      <c r="L46" s="229">
        <f t="shared" ref="L46:AP46" si="26">IF(ISNA(L43),-1,IF(ISNA(L45),99,IF(ISNA(L44),L43,0)))</f>
        <v>1</v>
      </c>
      <c r="M46" s="229">
        <f t="shared" si="26"/>
        <v>0</v>
      </c>
      <c r="N46" s="229">
        <f t="shared" si="26"/>
        <v>2</v>
      </c>
      <c r="O46" s="229">
        <f t="shared" si="26"/>
        <v>0</v>
      </c>
      <c r="P46" s="229">
        <f t="shared" si="26"/>
        <v>3</v>
      </c>
      <c r="Q46" s="229">
        <f t="shared" si="26"/>
        <v>3</v>
      </c>
      <c r="R46" s="229">
        <f t="shared" si="26"/>
        <v>0</v>
      </c>
      <c r="S46" s="229">
        <f t="shared" si="26"/>
        <v>4</v>
      </c>
      <c r="T46" s="229">
        <f t="shared" si="26"/>
        <v>4</v>
      </c>
      <c r="U46" s="229">
        <f t="shared" si="26"/>
        <v>4</v>
      </c>
      <c r="V46" s="229">
        <f t="shared" si="26"/>
        <v>4</v>
      </c>
      <c r="W46" s="229">
        <f t="shared" si="26"/>
        <v>4</v>
      </c>
      <c r="X46" s="229">
        <f t="shared" si="26"/>
        <v>4</v>
      </c>
      <c r="Y46" s="229">
        <f t="shared" si="26"/>
        <v>4</v>
      </c>
      <c r="Z46" s="229">
        <f t="shared" si="26"/>
        <v>4</v>
      </c>
      <c r="AA46" s="229">
        <f t="shared" si="26"/>
        <v>4</v>
      </c>
      <c r="AB46" s="229">
        <f t="shared" si="26"/>
        <v>0</v>
      </c>
      <c r="AC46" s="229">
        <f t="shared" si="26"/>
        <v>5</v>
      </c>
      <c r="AD46" s="229">
        <f t="shared" si="26"/>
        <v>5</v>
      </c>
      <c r="AE46" s="229">
        <f t="shared" si="26"/>
        <v>5</v>
      </c>
      <c r="AF46" s="229">
        <f t="shared" si="26"/>
        <v>5</v>
      </c>
      <c r="AG46" s="229">
        <f t="shared" si="26"/>
        <v>5</v>
      </c>
      <c r="AH46" s="229">
        <f t="shared" si="26"/>
        <v>5</v>
      </c>
      <c r="AI46" s="229">
        <f t="shared" si="26"/>
        <v>5</v>
      </c>
      <c r="AJ46" s="229">
        <f t="shared" si="26"/>
        <v>5</v>
      </c>
      <c r="AK46" s="229">
        <f t="shared" si="26"/>
        <v>5</v>
      </c>
      <c r="AL46" s="229">
        <f t="shared" si="26"/>
        <v>0</v>
      </c>
      <c r="AM46" s="229">
        <f t="shared" si="26"/>
        <v>6</v>
      </c>
      <c r="AN46" s="229">
        <f t="shared" si="26"/>
        <v>0</v>
      </c>
      <c r="AO46" s="229">
        <f t="shared" si="26"/>
        <v>99</v>
      </c>
      <c r="AP46" s="229">
        <f t="shared" si="26"/>
        <v>99</v>
      </c>
      <c r="AR46" s="225"/>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c r="BU46" s="225"/>
      <c r="BV46" s="225"/>
      <c r="BW46" s="225"/>
      <c r="BX46" s="225"/>
      <c r="BY46" s="225"/>
      <c r="BZ46" s="225"/>
    </row>
    <row r="47" spans="1:78" s="225" customFormat="1">
      <c r="A47" s="41" t="s">
        <v>125</v>
      </c>
      <c r="B47" s="145" t="str">
        <f t="shared" ref="B47:B51" si="27">IF(A47="*","","COM_PROJ")</f>
        <v>COM_PROJ</v>
      </c>
      <c r="C47" s="146" t="str">
        <f t="shared" ref="C47:C51" si="28">IF($A47="*","","-")</f>
        <v>-</v>
      </c>
      <c r="D47" s="61" t="s">
        <v>134</v>
      </c>
      <c r="E47" s="146" t="str">
        <f t="shared" ref="E47:H51" si="29">IF($A47="*","","-")</f>
        <v>-</v>
      </c>
      <c r="F47" s="146" t="str">
        <f t="shared" si="29"/>
        <v>-</v>
      </c>
      <c r="G47" s="146" t="str">
        <f t="shared" si="29"/>
        <v>-</v>
      </c>
      <c r="H47" s="146" t="str">
        <f t="shared" si="29"/>
        <v>-</v>
      </c>
      <c r="I47" s="147">
        <f t="shared" ref="I47:I51" si="30">IF(A47="*","",0)</f>
        <v>0</v>
      </c>
      <c r="J47" s="226">
        <f>J33</f>
        <v>0.820564128</v>
      </c>
      <c r="K47" s="226">
        <f t="shared" ref="K47:AL47" si="31">IF(K$46=-1,L47,IF(K$46=99,J47,IF(K$46=0,INDEX($J33:$P33,0,K$44),(INDEX($J33:$P33,0,K$46+1)-INDEX($J33:$P33,0,K$46))/(INDEX($J$4:$P$4,0,K$46+1)-INDEX($J$4:$P$4,0,K$46))+J47)))</f>
        <v>0.820564128</v>
      </c>
      <c r="L47" s="226">
        <f t="shared" si="31"/>
        <v>0.820564128</v>
      </c>
      <c r="M47" s="226">
        <f t="shared" si="31"/>
        <v>0.820564128</v>
      </c>
      <c r="N47" s="226">
        <f t="shared" si="31"/>
        <v>0.820564128</v>
      </c>
      <c r="O47" s="226">
        <f t="shared" si="31"/>
        <v>0.820564128</v>
      </c>
      <c r="P47" s="226">
        <f t="shared" si="31"/>
        <v>0.820564128</v>
      </c>
      <c r="Q47" s="226">
        <f t="shared" si="31"/>
        <v>0.820564128</v>
      </c>
      <c r="R47" s="226">
        <f t="shared" si="31"/>
        <v>0.820564128</v>
      </c>
      <c r="S47" s="226">
        <f t="shared" si="31"/>
        <v>0.820564128</v>
      </c>
      <c r="T47" s="226">
        <f t="shared" si="31"/>
        <v>0.820564128</v>
      </c>
      <c r="U47" s="226">
        <f t="shared" si="31"/>
        <v>0.820564128</v>
      </c>
      <c r="V47" s="226">
        <f t="shared" si="31"/>
        <v>0.820564128</v>
      </c>
      <c r="W47" s="226">
        <f t="shared" si="31"/>
        <v>0.820564128</v>
      </c>
      <c r="X47" s="226">
        <f t="shared" si="31"/>
        <v>0.820564128</v>
      </c>
      <c r="Y47" s="226">
        <f t="shared" si="31"/>
        <v>0.820564128</v>
      </c>
      <c r="Z47" s="226">
        <f t="shared" si="31"/>
        <v>0.820564128</v>
      </c>
      <c r="AA47" s="226">
        <f t="shared" si="31"/>
        <v>0.820564128</v>
      </c>
      <c r="AB47" s="226">
        <f t="shared" si="31"/>
        <v>0.820564128</v>
      </c>
      <c r="AC47" s="226">
        <f t="shared" si="31"/>
        <v>0.820564128</v>
      </c>
      <c r="AD47" s="226">
        <f t="shared" si="31"/>
        <v>0.820564128</v>
      </c>
      <c r="AE47" s="226">
        <f t="shared" si="31"/>
        <v>0.820564128</v>
      </c>
      <c r="AF47" s="226">
        <f t="shared" si="31"/>
        <v>0.820564128</v>
      </c>
      <c r="AG47" s="226">
        <f t="shared" si="31"/>
        <v>0.820564128</v>
      </c>
      <c r="AH47" s="226">
        <f t="shared" si="31"/>
        <v>0.820564128</v>
      </c>
      <c r="AI47" s="226">
        <f t="shared" si="31"/>
        <v>0.820564128</v>
      </c>
      <c r="AJ47" s="226">
        <f t="shared" si="31"/>
        <v>0.820564128</v>
      </c>
      <c r="AK47" s="226">
        <f t="shared" si="31"/>
        <v>0.820564128</v>
      </c>
      <c r="AL47" s="226">
        <f t="shared" si="31"/>
        <v>0.820564128</v>
      </c>
      <c r="AM47" s="256">
        <f>(AL47+AN47)/2</f>
        <v>0.820564128</v>
      </c>
      <c r="AN47" s="226">
        <f>IF(AN$46=-1,AO47,IF(AN$46=99,AM47,IF(AN$46=0,INDEX($J33:$P33,0,AN$44),(INDEX($J33:$P33,0,AN$46+1)-INDEX($J33:$P33,0,AN$46))/(INDEX($J$4:$P$4,0,AN$46+1)-INDEX($J$4:$P$4,0,AN$46))+AM47)))</f>
        <v>0.820564128</v>
      </c>
      <c r="AO47" s="226">
        <f>IF(AO$46=-1,AP47,IF(AO$46=99,AN47,IF(AO$46=0,INDEX($J33:$P33,0,AO$44),(INDEX($J33:$P33,0,AO$46+1)-INDEX($J33:$P33,0,AO$46))/(INDEX($J$4:$P$4,0,AO$46+1)-INDEX($J$4:$P$4,0,AO$46))+AN47)))</f>
        <v>0.820564128</v>
      </c>
      <c r="AP47" s="226">
        <f>IF(AP$46=-1,AR47,IF(AP$46=99,AO47,IF(AP$46=0,INDEX($J33:$P33,0,AP$44),(INDEX($J33:$P33,0,AP$46+1)-INDEX($J33:$P33,0,AP$46))/(INDEX($J$4:$P$4,0,AP$46+1)-INDEX($J$4:$P$4,0,AP$46))+AO47)))</f>
        <v>0.820564128</v>
      </c>
    </row>
    <row r="48" spans="1:78" s="225" customFormat="1">
      <c r="A48" s="41"/>
      <c r="B48" s="145" t="str">
        <f t="shared" si="27"/>
        <v>COM_PROJ</v>
      </c>
      <c r="C48" s="146" t="str">
        <f t="shared" si="28"/>
        <v>-</v>
      </c>
      <c r="D48" s="61" t="str">
        <f>B22</f>
        <v>TAIJET</v>
      </c>
      <c r="E48" s="146" t="str">
        <f t="shared" si="29"/>
        <v>-</v>
      </c>
      <c r="F48" s="146" t="str">
        <f t="shared" si="29"/>
        <v>-</v>
      </c>
      <c r="G48" s="146" t="str">
        <f t="shared" si="29"/>
        <v>-</v>
      </c>
      <c r="H48" s="146" t="str">
        <f t="shared" si="29"/>
        <v>-</v>
      </c>
      <c r="I48" s="147">
        <f t="shared" si="30"/>
        <v>0</v>
      </c>
      <c r="J48" s="226">
        <f>J22</f>
        <v>60.368000000000002</v>
      </c>
      <c r="K48" s="226">
        <f t="shared" ref="K48:AL48" si="32">IF(K$46=-1,L48,IF(K$46=99,J48,IF(K$46=0,INDEX($J22:$P22,0,K$44),(INDEX($J22:$P22,0,K$46+1)-INDEX($J22:$P22,0,K$46))/(INDEX($J$4:$P$4,0,K$46+1)-INDEX($J$4:$P$4,0,K$46))+J48)))</f>
        <v>61.904899940793371</v>
      </c>
      <c r="L48" s="226">
        <f t="shared" si="32"/>
        <v>63.441799881586739</v>
      </c>
      <c r="M48" s="226">
        <f t="shared" si="32"/>
        <v>64.978699822380108</v>
      </c>
      <c r="N48" s="226">
        <f t="shared" si="32"/>
        <v>66.958988998805694</v>
      </c>
      <c r="O48" s="226">
        <f t="shared" si="32"/>
        <v>68.939278175231294</v>
      </c>
      <c r="P48" s="226">
        <f t="shared" si="32"/>
        <v>67.404634236418261</v>
      </c>
      <c r="Q48" s="226">
        <f t="shared" si="32"/>
        <v>65.869990297605227</v>
      </c>
      <c r="R48" s="226">
        <f t="shared" si="32"/>
        <v>64.335346358792179</v>
      </c>
      <c r="S48" s="226">
        <f t="shared" si="32"/>
        <v>65.804336767317935</v>
      </c>
      <c r="T48" s="226">
        <f t="shared" si="32"/>
        <v>67.27332717584369</v>
      </c>
      <c r="U48" s="226">
        <f t="shared" si="32"/>
        <v>68.742317584369445</v>
      </c>
      <c r="V48" s="226">
        <f t="shared" si="32"/>
        <v>70.2113079928952</v>
      </c>
      <c r="W48" s="226">
        <f t="shared" si="32"/>
        <v>71.680298401420956</v>
      </c>
      <c r="X48" s="226">
        <f t="shared" si="32"/>
        <v>73.149288809946711</v>
      </c>
      <c r="Y48" s="226">
        <f t="shared" si="32"/>
        <v>74.618279218472466</v>
      </c>
      <c r="Z48" s="226">
        <f t="shared" si="32"/>
        <v>76.087269626998221</v>
      </c>
      <c r="AA48" s="226">
        <f t="shared" si="32"/>
        <v>77.556260035523977</v>
      </c>
      <c r="AB48" s="226">
        <f t="shared" si="32"/>
        <v>79.025250444049718</v>
      </c>
      <c r="AC48" s="226">
        <f t="shared" si="32"/>
        <v>81.20192966252219</v>
      </c>
      <c r="AD48" s="226">
        <f t="shared" si="32"/>
        <v>83.378608880994662</v>
      </c>
      <c r="AE48" s="226">
        <f t="shared" si="32"/>
        <v>85.555288099467134</v>
      </c>
      <c r="AF48" s="226">
        <f t="shared" si="32"/>
        <v>87.731967317939606</v>
      </c>
      <c r="AG48" s="226">
        <f t="shared" si="32"/>
        <v>89.908646536412078</v>
      </c>
      <c r="AH48" s="226">
        <f t="shared" si="32"/>
        <v>92.085325754884551</v>
      </c>
      <c r="AI48" s="226">
        <f t="shared" si="32"/>
        <v>94.262004973357023</v>
      </c>
      <c r="AJ48" s="226">
        <f t="shared" si="32"/>
        <v>96.438684191829495</v>
      </c>
      <c r="AK48" s="226">
        <f t="shared" si="32"/>
        <v>98.615363410301967</v>
      </c>
      <c r="AL48" s="226">
        <f t="shared" si="32"/>
        <v>100.7920426287744</v>
      </c>
      <c r="AM48" s="256">
        <f t="shared" ref="AM48:AM51" si="33">(AL48+AN48)/2</f>
        <v>114.86539964476019</v>
      </c>
      <c r="AN48" s="226">
        <f t="shared" ref="AN48:AO50" si="34">IF(AN$46=-1,AO48,IF(AN$46=99,AM48,IF(AN$46=0,INDEX($J22:$P22,0,AN$44),(INDEX($J22:$P22,0,AN$46+1)-INDEX($J22:$P22,0,AN$46))/(INDEX($J$4:$P$4,0,AN$46+1)-INDEX($J$4:$P$4,0,AN$46))+AM48)))</f>
        <v>128.93875666074598</v>
      </c>
      <c r="AO48" s="226">
        <f t="shared" si="34"/>
        <v>128.93875666074598</v>
      </c>
      <c r="AP48" s="226">
        <f>IF(AP$46=-1,AR48,IF(AP$46=99,AO48,IF(AP$46=0,INDEX($J22:$P22,0,AP$44),(INDEX($J22:$P22,0,AP$46+1)-INDEX($J22:$P22,0,AP$46))/(INDEX($J$4:$P$4,0,AP$46+1)-INDEX($J$4:$P$4,0,AP$46))+AO48)))</f>
        <v>128.93875666074598</v>
      </c>
    </row>
    <row r="49" spans="1:42" s="225" customFormat="1">
      <c r="A49" s="41"/>
      <c r="B49" s="145" t="str">
        <f t="shared" ref="B49:B50" si="35">IF(A49="*","","COM_PROJ")</f>
        <v>COM_PROJ</v>
      </c>
      <c r="C49" s="146" t="str">
        <f t="shared" si="28"/>
        <v>-</v>
      </c>
      <c r="D49" s="61" t="str">
        <f t="shared" ref="D49:D50" si="36">B23</f>
        <v>TADJET</v>
      </c>
      <c r="E49" s="146" t="str">
        <f t="shared" si="29"/>
        <v>-</v>
      </c>
      <c r="F49" s="146" t="str">
        <f t="shared" si="29"/>
        <v>-</v>
      </c>
      <c r="G49" s="146" t="str">
        <f t="shared" si="29"/>
        <v>-</v>
      </c>
      <c r="H49" s="146" t="str">
        <f t="shared" si="29"/>
        <v>-</v>
      </c>
      <c r="I49" s="147">
        <f t="shared" ref="I49:I50" si="37">IF(A49="*","",0)</f>
        <v>0</v>
      </c>
      <c r="J49" s="226">
        <f t="shared" ref="J49:J50" si="38">J23</f>
        <v>20.123000000000001</v>
      </c>
      <c r="K49" s="226">
        <f t="shared" ref="K49:AL49" si="39">IF(K$46=-1,L49,IF(K$46=99,J49,IF(K$46=0,INDEX($J23:$P23,0,K$44),(INDEX($J23:$P23,0,K$46+1)-INDEX($J23:$P23,0,K$46))/(INDEX($J$4:$P$4,0,K$46+1)-INDEX($J$4:$P$4,0,K$46))+J49)))</f>
        <v>20.635308466548256</v>
      </c>
      <c r="L49" s="226">
        <f t="shared" si="39"/>
        <v>21.147616933096511</v>
      </c>
      <c r="M49" s="226">
        <f t="shared" si="39"/>
        <v>21.659925399644763</v>
      </c>
      <c r="N49" s="226">
        <f t="shared" si="39"/>
        <v>21.062576729398778</v>
      </c>
      <c r="O49" s="226">
        <f t="shared" si="39"/>
        <v>20.465228059152793</v>
      </c>
      <c r="P49" s="226">
        <f t="shared" si="39"/>
        <v>20.791975603674391</v>
      </c>
      <c r="Q49" s="226">
        <f t="shared" si="39"/>
        <v>21.11872314819599</v>
      </c>
      <c r="R49" s="226">
        <f t="shared" si="39"/>
        <v>21.445470692717588</v>
      </c>
      <c r="S49" s="226">
        <f t="shared" si="39"/>
        <v>21.935142273534641</v>
      </c>
      <c r="T49" s="226">
        <f t="shared" si="39"/>
        <v>22.424813854351694</v>
      </c>
      <c r="U49" s="226">
        <f t="shared" si="39"/>
        <v>22.914485435168746</v>
      </c>
      <c r="V49" s="226">
        <f t="shared" si="39"/>
        <v>23.404157015985799</v>
      </c>
      <c r="W49" s="226">
        <f t="shared" si="39"/>
        <v>23.893828596802852</v>
      </c>
      <c r="X49" s="226">
        <f t="shared" si="39"/>
        <v>24.383500177619904</v>
      </c>
      <c r="Y49" s="226">
        <f t="shared" si="39"/>
        <v>24.873171758436957</v>
      </c>
      <c r="Z49" s="226">
        <f t="shared" si="39"/>
        <v>25.36284333925401</v>
      </c>
      <c r="AA49" s="226">
        <f t="shared" si="39"/>
        <v>25.852514920071062</v>
      </c>
      <c r="AB49" s="226">
        <f t="shared" si="39"/>
        <v>26.342186500888104</v>
      </c>
      <c r="AC49" s="226">
        <f t="shared" si="39"/>
        <v>27.06775825932505</v>
      </c>
      <c r="AD49" s="226">
        <f t="shared" si="39"/>
        <v>27.793330017761996</v>
      </c>
      <c r="AE49" s="226">
        <f t="shared" si="39"/>
        <v>28.518901776198941</v>
      </c>
      <c r="AF49" s="226">
        <f t="shared" si="39"/>
        <v>29.244473534635887</v>
      </c>
      <c r="AG49" s="226">
        <f t="shared" si="39"/>
        <v>29.970045293072832</v>
      </c>
      <c r="AH49" s="226">
        <f t="shared" si="39"/>
        <v>30.695617051509778</v>
      </c>
      <c r="AI49" s="226">
        <f t="shared" si="39"/>
        <v>31.421188809946724</v>
      </c>
      <c r="AJ49" s="226">
        <f t="shared" si="39"/>
        <v>32.146760568383669</v>
      </c>
      <c r="AK49" s="226">
        <f t="shared" si="39"/>
        <v>32.872332326820612</v>
      </c>
      <c r="AL49" s="226">
        <f t="shared" si="39"/>
        <v>33.597904085257554</v>
      </c>
      <c r="AM49" s="256">
        <f t="shared" ref="AM49:AM50" si="40">(AL49+AN49)/2</f>
        <v>38.289100799289528</v>
      </c>
      <c r="AN49" s="226">
        <f t="shared" si="34"/>
        <v>42.980297513321496</v>
      </c>
      <c r="AO49" s="226">
        <f t="shared" si="34"/>
        <v>42.980297513321496</v>
      </c>
      <c r="AP49" s="226">
        <f>IF(AP$46=-1,AR49,IF(AP$46=99,AO49,IF(AP$46=0,INDEX($J23:$P23,0,AP$44),(INDEX($J23:$P23,0,AP$46+1)-INDEX($J23:$P23,0,AP$46))/(INDEX($J$4:$P$4,0,AP$46+1)-INDEX($J$4:$P$4,0,AP$46))+AO49)))</f>
        <v>42.980297513321496</v>
      </c>
    </row>
    <row r="50" spans="1:42" s="225" customFormat="1">
      <c r="A50" s="41"/>
      <c r="B50" s="145" t="str">
        <f t="shared" si="35"/>
        <v>COM_PROJ</v>
      </c>
      <c r="C50" s="146" t="str">
        <f t="shared" si="28"/>
        <v>-</v>
      </c>
      <c r="D50" s="61" t="str">
        <f t="shared" si="36"/>
        <v>TAOAG</v>
      </c>
      <c r="E50" s="146" t="str">
        <f t="shared" si="29"/>
        <v>-</v>
      </c>
      <c r="F50" s="146" t="str">
        <f t="shared" si="29"/>
        <v>-</v>
      </c>
      <c r="G50" s="146" t="str">
        <f t="shared" si="29"/>
        <v>-</v>
      </c>
      <c r="H50" s="146" t="str">
        <f t="shared" si="29"/>
        <v>-</v>
      </c>
      <c r="I50" s="147">
        <f t="shared" si="37"/>
        <v>0</v>
      </c>
      <c r="J50" s="226">
        <f t="shared" si="38"/>
        <v>1.0701311035156249</v>
      </c>
      <c r="K50" s="226">
        <f t="shared" ref="K50:AL50" si="41">IF(K$46=-1,L50,IF(K$46=99,J50,IF(K$46=0,INDEX($J24:$P24,0,K$44),(INDEX($J24:$P24,0,K$46+1)-INDEX($J24:$P24,0,K$46))/(INDEX($J$4:$P$4,0,K$46+1)-INDEX($J$4:$P$4,0,K$46))+J50)))</f>
        <v>1.0973754122492969</v>
      </c>
      <c r="L50" s="226">
        <f t="shared" si="41"/>
        <v>1.1246197209829689</v>
      </c>
      <c r="M50" s="226">
        <f t="shared" si="41"/>
        <v>1.1518640297166407</v>
      </c>
      <c r="N50" s="226">
        <f t="shared" si="41"/>
        <v>1.163268624070271</v>
      </c>
      <c r="O50" s="226">
        <f t="shared" si="41"/>
        <v>1.174673218423901</v>
      </c>
      <c r="P50" s="226">
        <f t="shared" si="41"/>
        <v>1.163268624070271</v>
      </c>
      <c r="Q50" s="226">
        <f t="shared" si="41"/>
        <v>1.1518640297166409</v>
      </c>
      <c r="R50" s="226">
        <f t="shared" si="41"/>
        <v>1.1404594353630106</v>
      </c>
      <c r="S50" s="226">
        <f t="shared" si="41"/>
        <v>1.1664999258037994</v>
      </c>
      <c r="T50" s="226">
        <f t="shared" si="41"/>
        <v>1.1925404162445881</v>
      </c>
      <c r="U50" s="226">
        <f t="shared" si="41"/>
        <v>1.2185809066853768</v>
      </c>
      <c r="V50" s="226">
        <f t="shared" si="41"/>
        <v>1.2446213971261655</v>
      </c>
      <c r="W50" s="226">
        <f t="shared" si="41"/>
        <v>1.2706618875669542</v>
      </c>
      <c r="X50" s="226">
        <f t="shared" si="41"/>
        <v>1.2967023780077429</v>
      </c>
      <c r="Y50" s="226">
        <f t="shared" si="41"/>
        <v>1.3227428684485316</v>
      </c>
      <c r="Z50" s="226">
        <f t="shared" si="41"/>
        <v>1.3487833588893203</v>
      </c>
      <c r="AA50" s="226">
        <f t="shared" si="41"/>
        <v>1.374823849330109</v>
      </c>
      <c r="AB50" s="226">
        <f t="shared" si="41"/>
        <v>1.400864339770898</v>
      </c>
      <c r="AC50" s="226">
        <f t="shared" si="41"/>
        <v>1.4394498840006797</v>
      </c>
      <c r="AD50" s="226">
        <f t="shared" si="41"/>
        <v>1.4780354282304615</v>
      </c>
      <c r="AE50" s="226">
        <f t="shared" si="41"/>
        <v>1.5166209724602433</v>
      </c>
      <c r="AF50" s="226">
        <f t="shared" si="41"/>
        <v>1.5552065166900251</v>
      </c>
      <c r="AG50" s="226">
        <f t="shared" si="41"/>
        <v>1.5937920609198069</v>
      </c>
      <c r="AH50" s="226">
        <f t="shared" si="41"/>
        <v>1.6323776051495886</v>
      </c>
      <c r="AI50" s="226">
        <f t="shared" si="41"/>
        <v>1.6709631493793704</v>
      </c>
      <c r="AJ50" s="226">
        <f t="shared" si="41"/>
        <v>1.7095486936091522</v>
      </c>
      <c r="AK50" s="226">
        <f t="shared" si="41"/>
        <v>1.748134237838934</v>
      </c>
      <c r="AL50" s="226">
        <f t="shared" si="41"/>
        <v>1.7867197820687164</v>
      </c>
      <c r="AM50" s="256">
        <f t="shared" si="40"/>
        <v>2.0361952835543748</v>
      </c>
      <c r="AN50" s="226">
        <f t="shared" si="34"/>
        <v>2.2856707850400335</v>
      </c>
      <c r="AO50" s="226">
        <f t="shared" si="34"/>
        <v>2.2856707850400335</v>
      </c>
      <c r="AP50" s="226">
        <f>IF(AP$46=-1,AR50,IF(AP$46=99,AO50,IF(AP$46=0,INDEX($J24:$P24,0,AP$44),(INDEX($J24:$P24,0,AP$46+1)-INDEX($J24:$P24,0,AP$46))/(INDEX($J$4:$P$4,0,AP$46+1)-INDEX($J$4:$P$4,0,AP$46))+AO50)))</f>
        <v>2.2856707850400335</v>
      </c>
    </row>
    <row r="51" spans="1:42" s="225" customFormat="1">
      <c r="A51" s="41"/>
      <c r="B51" s="145" t="str">
        <f t="shared" si="27"/>
        <v>COM_PROJ</v>
      </c>
      <c r="C51" s="146" t="str">
        <f t="shared" si="28"/>
        <v>-</v>
      </c>
      <c r="D51" s="61" t="s">
        <v>158</v>
      </c>
      <c r="E51" s="146" t="str">
        <f t="shared" si="29"/>
        <v>-</v>
      </c>
      <c r="F51" s="146" t="str">
        <f t="shared" si="29"/>
        <v>-</v>
      </c>
      <c r="G51" s="146" t="str">
        <f t="shared" si="29"/>
        <v>-</v>
      </c>
      <c r="H51" s="146" t="str">
        <f t="shared" si="29"/>
        <v>-</v>
      </c>
      <c r="I51" s="147">
        <f t="shared" si="30"/>
        <v>0</v>
      </c>
      <c r="J51" s="226">
        <f>J36</f>
        <v>4.5090000000000003</v>
      </c>
      <c r="K51" s="226">
        <f t="shared" ref="K51:AL51" si="42">IF(K$46=-1,L51,IF(K$46=99,J51,IF(K$46=0,INDEX($J36:$P36,0,K$44),(INDEX($J36:$P36,0,K$46+1)-INDEX($J36:$P36,0,K$46))/(INDEX($J$4:$P$4,0,K$46+1)-INDEX($J$4:$P$4,0,K$46))+J51)))</f>
        <v>4.4958157894736841</v>
      </c>
      <c r="L51" s="226">
        <f t="shared" si="42"/>
        <v>4.4826315789473679</v>
      </c>
      <c r="M51" s="226">
        <f t="shared" si="42"/>
        <v>4.4694473684210525</v>
      </c>
      <c r="N51" s="226">
        <f t="shared" si="42"/>
        <v>4.5090000000000003</v>
      </c>
      <c r="O51" s="226">
        <f t="shared" si="42"/>
        <v>4.5485526315789473</v>
      </c>
      <c r="P51" s="226">
        <f t="shared" si="42"/>
        <v>4.3376052631578945</v>
      </c>
      <c r="Q51" s="226">
        <f t="shared" si="42"/>
        <v>4.1266578947368417</v>
      </c>
      <c r="R51" s="226">
        <f t="shared" si="42"/>
        <v>3.9157105263157894</v>
      </c>
      <c r="S51" s="226">
        <f t="shared" si="42"/>
        <v>3.9829499999999998</v>
      </c>
      <c r="T51" s="226">
        <f t="shared" si="42"/>
        <v>4.0501894736842106</v>
      </c>
      <c r="U51" s="226">
        <f t="shared" si="42"/>
        <v>4.1174289473684214</v>
      </c>
      <c r="V51" s="226">
        <f t="shared" si="42"/>
        <v>4.1846684210526321</v>
      </c>
      <c r="W51" s="226">
        <f t="shared" si="42"/>
        <v>4.2519078947368429</v>
      </c>
      <c r="X51" s="226">
        <f t="shared" si="42"/>
        <v>4.3191473684210537</v>
      </c>
      <c r="Y51" s="226">
        <f t="shared" si="42"/>
        <v>4.3863868421052645</v>
      </c>
      <c r="Z51" s="226">
        <f t="shared" si="42"/>
        <v>4.4536263157894753</v>
      </c>
      <c r="AA51" s="226">
        <f t="shared" si="42"/>
        <v>4.5208657894736861</v>
      </c>
      <c r="AB51" s="226">
        <f t="shared" si="42"/>
        <v>4.5881052631578942</v>
      </c>
      <c r="AC51" s="226">
        <f t="shared" si="42"/>
        <v>4.7819131578947367</v>
      </c>
      <c r="AD51" s="226">
        <f t="shared" si="42"/>
        <v>4.9757210526315792</v>
      </c>
      <c r="AE51" s="226">
        <f t="shared" si="42"/>
        <v>5.1695289473684216</v>
      </c>
      <c r="AF51" s="226">
        <f t="shared" si="42"/>
        <v>5.3633368421052641</v>
      </c>
      <c r="AG51" s="226">
        <f t="shared" si="42"/>
        <v>5.5571447368421065</v>
      </c>
      <c r="AH51" s="226">
        <f t="shared" si="42"/>
        <v>5.750952631578949</v>
      </c>
      <c r="AI51" s="226">
        <f t="shared" si="42"/>
        <v>5.9447605263157914</v>
      </c>
      <c r="AJ51" s="226">
        <f t="shared" si="42"/>
        <v>6.1385684210526339</v>
      </c>
      <c r="AK51" s="226">
        <f t="shared" si="42"/>
        <v>6.3323763157894764</v>
      </c>
      <c r="AL51" s="226">
        <f t="shared" si="42"/>
        <v>6.5261842105263153</v>
      </c>
      <c r="AM51" s="256">
        <f t="shared" si="33"/>
        <v>8.5235921052631589</v>
      </c>
      <c r="AN51" s="226">
        <f>IF(AN$46=-1,AO51,IF(AN$46=99,AM51,IF(AN$46=0,INDEX($J36:$P36,0,AN$44),(INDEX($J36:$P36,0,AN$46+1)-INDEX($J36:$P36,0,AN$46))/(INDEX($J$4:$P$4,0,AN$46+1)-INDEX($J$4:$P$4,0,AN$46))+AM51)))</f>
        <v>10.521000000000001</v>
      </c>
      <c r="AO51" s="226">
        <f>IF(AO$46=-1,AP51,IF(AO$46=99,AN51,IF(AO$46=0,INDEX($J36:$P36,0,AO$44),(INDEX($J36:$P36,0,AO$46+1)-INDEX($J36:$P36,0,AO$46))/(INDEX($J$4:$P$4,0,AO$46+1)-INDEX($J$4:$P$4,0,AO$46))+AN51)))</f>
        <v>10.521000000000001</v>
      </c>
      <c r="AP51" s="226">
        <f>IF(AP$46=-1,AR51,IF(AP$46=99,AO51,IF(AP$46=0,INDEX($J36:$P36,0,AP$44),(INDEX($J36:$P36,0,AP$46+1)-INDEX($J36:$P36,0,AP$46))/(INDEX($J$4:$P$4,0,AP$46+1)-INDEX($J$4:$P$4,0,AP$46))+AO51)))</f>
        <v>10.521000000000001</v>
      </c>
    </row>
  </sheetData>
  <mergeCells count="1">
    <mergeCell ref="B2:C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alison</cp:lastModifiedBy>
  <dcterms:created xsi:type="dcterms:W3CDTF">2011-09-16T10:01:44Z</dcterms:created>
  <dcterms:modified xsi:type="dcterms:W3CDTF">2020-07-30T12:48:32Z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