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41FB320C-E4A9-4B31-8834-18774D0BB5F0}" xr6:coauthVersionLast="47" xr6:coauthVersionMax="47" xr10:uidLastSave="{00000000-0000-0000-0000-000000000000}"/>
  <bookViews>
    <workbookView xWindow="-120" yWindow="-120" windowWidth="29040" windowHeight="15840" tabRatio="780" activeTab="1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M" sheetId="56" r:id="rId14"/>
    <sheet name="ProcData_FM - PAMS" sheetId="61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externalReferences>
    <externalReference r:id="rId24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0" l="1"/>
  <c r="I9" i="61"/>
  <c r="J9" i="61"/>
  <c r="J4" i="61"/>
  <c r="J5" i="61"/>
  <c r="I5" i="61"/>
  <c r="I4" i="61"/>
  <c r="F9" i="61"/>
  <c r="H9" i="61"/>
  <c r="E9" i="61"/>
  <c r="H5" i="61" s="1"/>
  <c r="D9" i="61"/>
  <c r="C9" i="61"/>
  <c r="B9" i="61"/>
  <c r="A8" i="61"/>
  <c r="A2" i="61"/>
  <c r="D10" i="60" s="1"/>
  <c r="B1" i="61"/>
  <c r="A9" i="27"/>
  <c r="AB12" i="56"/>
  <c r="AA11" i="56"/>
  <c r="Z10" i="56"/>
  <c r="K8" i="27"/>
  <c r="K7" i="27"/>
  <c r="K6" i="27"/>
  <c r="K5" i="27"/>
  <c r="F5" i="27"/>
  <c r="F8" i="30" l="1"/>
  <c r="AB21" i="56"/>
  <c r="AB16" i="56"/>
  <c r="U38" i="27"/>
  <c r="U35" i="27"/>
  <c r="U33" i="27"/>
  <c r="E8" i="30"/>
  <c r="V33" i="27"/>
  <c r="W33" i="27" s="1"/>
  <c r="B7" i="27"/>
  <c r="Q17" i="27"/>
  <c r="T17" i="27"/>
  <c r="W35" i="27" l="1"/>
  <c r="Q18" i="27"/>
  <c r="Q19" i="27"/>
  <c r="O19" i="27"/>
  <c r="S13" i="56" l="1"/>
  <c r="R13" i="56"/>
  <c r="K4" i="27"/>
  <c r="C14" i="56"/>
  <c r="C19" i="56"/>
  <c r="AA20" i="56" l="1"/>
  <c r="AA15" i="56"/>
  <c r="Z19" i="56"/>
  <c r="Z14" i="56"/>
  <c r="AC17" i="56" s="1"/>
  <c r="AC22" i="56"/>
  <c r="I13" i="56"/>
  <c r="N13" i="56" s="1"/>
  <c r="E20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E21" i="56" s="1"/>
  <c r="D14" i="56"/>
  <c r="B14" i="56"/>
  <c r="AB5" i="56"/>
  <c r="AA5" i="56"/>
  <c r="Z5" i="56"/>
  <c r="C11" i="31" l="1"/>
  <c r="B11" i="31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1" i="60"/>
  <c r="A2" i="56"/>
  <c r="D11" i="60" s="1"/>
  <c r="A2" i="31"/>
  <c r="D9" i="60" s="1"/>
  <c r="A2" i="30"/>
  <c r="D8" i="60" s="1"/>
  <c r="A2" i="29"/>
  <c r="E7" i="60"/>
  <c r="M13" i="56" l="1"/>
  <c r="D7" i="60"/>
  <c r="A1" i="61" s="1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7417F529-8276-4CEC-A191-BD5A696DF397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<sst xmlns="http://schemas.openxmlformats.org/spreadsheetml/2006/main" count="683" uniqueCount="295">
  <si>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</si>
  <si>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</si>
  <si>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</si>
  <si>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</si>
  <si>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</si>
  <si>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</si>
  <si>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</si>
  <si>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</si>
  <si>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</si>
  <si>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</si>
  <si>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</si>
  <si>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</si>
  <si>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</si>
  <si>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</si>
  <si>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</si>
  <si>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</si>
  <si>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</si>
  <si>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</si>
  <si>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</si>
  <si>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</si>
  <si>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</si>
  <si>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</si>
  <si>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</si>
  <si>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</si>
  <si>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</si>
  <si>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</si>
  <si>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</si>
  <si>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</si>
  <si>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</si>
  <si>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</si>
  <si>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</si>
  <si>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</si>
  <si>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</si>
  <si>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</si>
  <si>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</si>
  <si>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</si>
  <si>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</si>
  <si>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</si>
  <si>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</si>
  <si>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</si>
  <si>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</si>
  <si>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</si>
  <si>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</si>
  <si>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</si>
  <si>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</si>
  <si>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</si>
  <si>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</si>
  <si>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</si>
  <si>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</si>
  <si>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</si>
  <si>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</si>
  <si>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</si>
  <si>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</si>
  <si>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</si>
  <si>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</si>
  <si>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</si>
  <si>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</si>
  <si>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</si>
  <si>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</si>
  <si>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</si>
  <si>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</si>
  <si>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</si>
  <si>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</si>
  <si>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</si>
  <si>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</si>
  <si>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</si>
  <si>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</si>
  <si>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</si>
  <si>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</si>
  <si>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</si>
  <si>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</si>
  <si>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</si>
  <si>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</si>
  <si>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</si>
  <si>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</si>
  <si>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</si>
  <si>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</si>
  <si>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</si>
  <si>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</si>
  <si>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</si>
  <si>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</si>
  <si>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</si>
  <si>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</si>
  <si>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</si>
  <si>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</si>
  <si>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</si>
  <si>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</si>
  <si>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</si>
  <si>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</si>
  <si>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</si>
  <si>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</si>
  <si>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</si>
  <si>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</si>
  <si>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</si>
  <si>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</si>
  <si>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</si>
  <si>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</si>
  <si>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</si>
  <si>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</si>
  <si>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</si>
  <si>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</si>
  <si>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</si>
  <si>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</si>
  <si>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</si>
  <si>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</si>
  <si>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</si>
  <si>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</si>
  <si>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</si>
  <si>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</si>
  <si>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</si>
  <si>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</si>
  <si>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</si>
  <si>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</si>
  <si>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</si>
  <si>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</si>
  <si>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</si>
  <si>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</si>
  <si>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</si>
  <si>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</si>
  <si>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</si>
  <si>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</si>
  <si>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</si>
  <si>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</si>
  <si>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</si>
  <si>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</si>
  <si>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</si>
  <si>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</si>
  <si>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</si>
  <si>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</si>
  <si>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</si>
  <si>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</si>
  <si>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</si>
  <si>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</si>
  <si>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</si>
  <si>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</si>
  <si>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</si>
  <si>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</si>
  <si>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</si>
  <si>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</si>
  <si>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</si>
  <si>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</si>
  <si>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</si>
  <si>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</si>
  <si>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</si>
  <si>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</si>
  <si>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</si>
  <si>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</si>
  <si>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</si>
  <si>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</si>
  <si>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</si>
  <si>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</si>
  <si>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</si>
  <si>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</si>
  <si>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</si>
  <si>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</si>
  <si>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</si>
  <si>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</si>
  <si>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</si>
  <si>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</si>
  <si>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</si>
  <si>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</si>
  <si>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</si>
  <si>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</si>
  <si>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</si>
  <si>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</si>
  <si>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</si>
  <si>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</si>
  <si>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</si>
  <si>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</si>
  <si>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</si>
  <si>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</si>
  <si>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</si>
  <si>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</si>
  <si>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</si>
  <si>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</si>
  <si>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</si>
  <si>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</si>
  <si>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</si>
  <si>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</si>
  <si>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</si>
  <si>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</si>
  <si>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</si>
  <si>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</si>
  <si>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</si>
  <si>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</si>
  <si>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</si>
  <si>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</si>
  <si>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</si>
  <si>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</si>
  <si>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</si>
  <si>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</si>
  <si>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</si>
  <si>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</si>
  <si>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</si>
  <si>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</si>
  <si>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</si>
  <si>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</si>
  <si>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</si>
  <si>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</si>
  <si>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</si>
  <si>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</si>
  <si>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</si>
  <si>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</si>
  <si>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CO2SP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</si>
  <si>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</si>
  <si>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</si>
  <si>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</si>
  <si>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</si>
  <si>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</si>
  <si>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</si>
  <si>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</si>
  <si>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-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</si>
  <si>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</si>
  <si>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</si>
  <si>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</si>
  <si>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</si>
  <si>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</si>
  <si>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</si>
  <si>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</si>
  <si>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</si>
  <si>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</si>
  <si>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</si>
  <si>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</si>
  <si>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</si>
  <si>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</si>
  <si>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</si>
  <si>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</si>
  <si>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</si>
  <si>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</si>
  <si>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</si>
  <si>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</si>
  <si>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IFAM</t>
  </si>
  <si>
    <t>Industry - Ferro Alloy Metals production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</si>
  <si>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</si>
  <si>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</si>
  <si>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</si>
  <si>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</si>
  <si>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</si>
  <si>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</si>
  <si>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</si>
  <si>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</si>
  <si>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XINDBIO</t>
  </si>
  <si>
    <t>BIO</t>
  </si>
  <si>
    <t>NCAP_START</t>
  </si>
  <si>
    <t>QUICK FIX: adding manganese to this book until it's complete in another workbook</t>
  </si>
  <si>
    <t>Cr</t>
  </si>
  <si>
    <t>Mn</t>
  </si>
  <si>
    <t>Si</t>
  </si>
  <si>
    <t>Cap</t>
  </si>
  <si>
    <t>IFMEAF-E</t>
  </si>
  <si>
    <t>IFMEAF-N</t>
  </si>
  <si>
    <t>IFMEAFB-N</t>
  </si>
  <si>
    <t>IFAMN</t>
  </si>
  <si>
    <t>FerroMn existing</t>
  </si>
  <si>
    <t>FerroMn New</t>
  </si>
  <si>
    <t>FerroMn with biomass</t>
  </si>
  <si>
    <t>seems too low, Steenkamp 2018 says that this is the MVA capacity for FeMn and SiMn, but that they are running at 50%, doesn't tie with production</t>
  </si>
  <si>
    <t>Production rate</t>
  </si>
  <si>
    <t>Installed capacity (MVA)</t>
  </si>
  <si>
    <t>Capacity (Steenkamp, 2018)</t>
  </si>
  <si>
    <t>Metalloys</t>
  </si>
  <si>
    <t>HCFEMn</t>
  </si>
  <si>
    <t>Assmang Cato Ridge</t>
  </si>
  <si>
    <t>Assmang Machadodorp</t>
  </si>
  <si>
    <t>TransAlloys</t>
  </si>
  <si>
    <t>SiMn</t>
  </si>
  <si>
    <t>Mogale</t>
  </si>
  <si>
    <t>Says curerntly converted to FECR production</t>
  </si>
  <si>
    <t xml:space="preserve">Electicity </t>
  </si>
  <si>
    <t>MWh/tonne</t>
  </si>
  <si>
    <t>FEMn</t>
  </si>
  <si>
    <t>thousand kt</t>
  </si>
  <si>
    <t>Coke or Coal</t>
  </si>
  <si>
    <t xml:space="preserve">looks about right, </t>
  </si>
  <si>
    <t>Share that is coal</t>
  </si>
  <si>
    <t>FEMN</t>
  </si>
  <si>
    <t>GWh total</t>
  </si>
  <si>
    <t>MWh/tonne Min</t>
  </si>
  <si>
    <t>MWh/tonne Max</t>
  </si>
  <si>
    <t>MWh/tonne assumed</t>
  </si>
  <si>
    <t>PJ total</t>
  </si>
  <si>
    <t>PJ/ktonne</t>
  </si>
  <si>
    <t>New</t>
  </si>
  <si>
    <t>Coke</t>
  </si>
  <si>
    <t>This seems achievable with current technology</t>
  </si>
  <si>
    <t>Fixed carbon (% weight)</t>
  </si>
  <si>
    <t>roughly, these were measurements specific to a batch</t>
  </si>
  <si>
    <t>what is the SA number?</t>
  </si>
  <si>
    <t>Biochar</t>
  </si>
  <si>
    <t>Roughly, may be slightly less or slightly more</t>
  </si>
  <si>
    <t>Still in operation</t>
  </si>
  <si>
    <t>Exept one of these sold to South32 and I think that smelter is closed, Steenkamp confirmed smelter closed</t>
  </si>
  <si>
    <t>CO2SPIFM</t>
  </si>
  <si>
    <t>Process Emissions FerroManganese South Africa</t>
  </si>
  <si>
    <t>linked to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</si>
</sst>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7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  <xf numFmtId="0" fontId="11" fillId="7" borderId="0" xfId="0" applyFont="1" applyFill="1"/>
    <xf numFmtId="0" fontId="0" fillId="7" borderId="0" xfId="0" applyFill="1"/>
    <xf numFmtId="0" fontId="17" fillId="7" borderId="0" xfId="0" applyFont="1" applyFill="1"/>
    <xf numFmtId="0" fontId="47" fillId="7" borderId="0" xfId="0" applyFont="1" applyFill="1"/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2" fontId="41" fillId="4" borderId="0" xfId="21" applyNumberFormat="1" applyAlignment="1">
      <alignment horizontal="center"/>
    </xf>
    <xf numFmtId="0" fontId="17" fillId="8" borderId="0" xfId="0" applyFont="1" applyFill="1"/>
    <xf numFmtId="0" fontId="0" fillId="8" borderId="0" xfId="0" applyFill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80590E18-FE59-BD41-8C57-ECAFC75594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257300"/>
          <a:ext cx="1574800" cy="825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52067FF1-9CCA-E643-96DF-9E1D8DAA54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9751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EE4FDF3F-33B7-2745-A453-C1736E9A2E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3429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D6E48CAA-3DDC-B24D-973B-008D2D9DA4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25700"/>
          <a:ext cx="1854200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002C74F9-5CA6-474D-A2A8-5905D4F35F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32100"/>
          <a:ext cx="1854200" cy="774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1C0EB82C-711D-B549-9EE1-4F96E9AD8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7E40248-8A02-A543-ABBF-51FF26540F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ADD2BC5C-8D3C-3144-85C3-0E3EF66F9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5842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3A67F412-5B7F-684B-B4D9-AE7720FB9E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1955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78ACDED0-A8D8-5949-9C05-96B2F5B70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254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F24B1CEE-91CC-9A46-B354-2F8186405D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80FED6FA-1AE6-E240-82D0-4B7672252C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845EE0D5-BC1C-5740-9C3F-339D08D79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3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974566C-B569-4349-A521-F08D1767F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2DC2425-1503-4A4B-8369-45BFA4DD15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22C590EA-41F8-524C-94F6-1B94F6CF14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2019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9748FD78-E072-954D-B94E-B192068A3C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6B449B8-195A-9E48-8AEC-75717C00A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2F275FF-4AA7-6748-9763-83766D80DD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7B4E0291-28EE-5B42-A03D-442433A1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890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2E609736-2D03-6B4D-813B-25020C256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4CC33A68-778A-F042-B931-52A1380A1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065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BD6BE2C7-2771-4B27-B7AD-874D1C1B4522}"/>
            </a:ext>
          </a:extLst>
        </xdr:cNvPr>
        <xdr:cNvSpPr/>
      </xdr:nvSpPr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CD87ACB-4205-49DF-8E06-6E304CD3A034}"/>
            </a:ext>
          </a:extLst>
        </xdr:cNvPr>
        <xdr:cNvSpPr/>
      </xdr:nvSpPr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C7700E9D-F526-472A-A4FE-3579645F66CC}"/>
            </a:ext>
          </a:extLst>
        </xdr:cNvPr>
        <xdr:cNvSpPr/>
      </xdr:nvSpPr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BD2F970D-DEFF-4ABC-AC9A-4190A753CD72}"/>
            </a:ext>
          </a:extLst>
        </xdr:cNvPr>
        <xdr:cNvSpPr/>
      </xdr:nvSpPr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2AE9DFD4-D881-46D4-8FCE-F0D0D4D73082}"/>
            </a:ext>
          </a:extLst>
        </xdr:cNvPr>
        <xdr:cNvSpPr/>
      </xdr:nvSpPr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971CA13D-538A-483C-AE34-2FA5E099DC4D}"/>
            </a:ext>
          </a:extLst>
        </xdr:cNvPr>
        <xdr:cNvSpPr/>
      </xdr:nvSpPr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5FA7DF2A-75CB-4D2E-A16A-B5565CECB68A}"/>
            </a:ext>
          </a:extLst>
        </xdr:cNvPr>
        <xdr:cNvSpPr/>
      </xdr:nvSpPr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9" name="cmdTechNameAndDesc">
          <a:extLst>
            <a:ext uri="{FF2B5EF4-FFF2-40B4-BE49-F238E27FC236}">
              <a16:creationId xmlns:a16="http://schemas.microsoft.com/office/drawing/2014/main" id="{D644D7F9-B6AC-4135-B7AC-82299AED27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10" name="cmdCommIN">
          <a:extLst>
            <a:ext uri="{FF2B5EF4-FFF2-40B4-BE49-F238E27FC236}">
              <a16:creationId xmlns:a16="http://schemas.microsoft.com/office/drawing/2014/main" id="{F8F470EF-741F-4C7C-8733-5138687CF4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11" name="cmdCommOUT">
          <a:extLst>
            <a:ext uri="{FF2B5EF4-FFF2-40B4-BE49-F238E27FC236}">
              <a16:creationId xmlns:a16="http://schemas.microsoft.com/office/drawing/2014/main" id="{84717F59-EC70-4014-BB2E-E2CAB1CA62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12" name="cmdAddParameter">
          <a:extLst>
            <a:ext uri="{FF2B5EF4-FFF2-40B4-BE49-F238E27FC236}">
              <a16:creationId xmlns:a16="http://schemas.microsoft.com/office/drawing/2014/main" id="{0FA4EED1-0B8C-44F1-A8C8-885EEA21A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13" name="cmdAddParamQualifier1">
          <a:extLst>
            <a:ext uri="{FF2B5EF4-FFF2-40B4-BE49-F238E27FC236}">
              <a16:creationId xmlns:a16="http://schemas.microsoft.com/office/drawing/2014/main" id="{471710C5-8C5B-4491-B5D3-38C5E42FB7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14" name="cmdCheckTechDataSheet">
          <a:extLst>
            <a:ext uri="{FF2B5EF4-FFF2-40B4-BE49-F238E27FC236}">
              <a16:creationId xmlns:a16="http://schemas.microsoft.com/office/drawing/2014/main" id="{725A4C4B-8FCB-4C3A-809D-FB28BCBB04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15" name="cmdAddParamQualifier2">
          <a:extLst>
            <a:ext uri="{FF2B5EF4-FFF2-40B4-BE49-F238E27FC236}">
              <a16:creationId xmlns:a16="http://schemas.microsoft.com/office/drawing/2014/main" id="{E08F4BAE-E074-4709-B110-9F3AF0AB09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F9E73E3E-556D-3C49-A64C-3124BF1C03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79400"/>
          <a:ext cx="2019300" cy="190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7F1586BA-49D0-6F4B-956C-4CDFA25B78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A78516D0-5EA0-324D-8CDC-95009A76B8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04AF077-E869-B84D-B284-ED768EB42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1A254733-F21D-2449-A64C-8436E5E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98C38F23-6727-1A48-B65A-14015923C9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5A1E5AF3-68AE-2149-8FA5-7F4A26E07D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C5F2104-93C4-E64E-A15C-B01006ABEB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1929B29B-F283-B24B-AD0A-4E74C99EA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11A5FD03-0870-1149-9689-CBF4C933E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08000"/>
          <a:ext cx="838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D1A7BCB2-94D5-C943-A526-AB7C37438B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08000"/>
          <a:ext cx="7620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A93C6396-C4A7-224B-93B7-61A6708BCA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08000"/>
          <a:ext cx="21717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BE742E99-BD00-8B4A-874F-2E606E6F9E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9ECC934-BD90-6846-8BC6-7E2077BBF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953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43657BF-CCCE-444B-8447-292CBAC4A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C36874C-D2AC-C444-BBC8-ED95B7CB9B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20B94E3-4651-3F41-B161-F767C81F5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655B44-7F29-DE4F-A058-C41CE6EB4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48FDF40-F5BB-3142-BADA-06834BE4FB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2308E849-8F8F-1949-B6B2-694D5BF5E8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33CC07A3-FFED-534B-AE6D-69212634C3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953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47A14C6E-1C23-974A-9238-7511B3B86D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7B3A89D2-7FC7-A04F-8D2F-E5BF4C033F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E9717CC-1C73-F048-8D24-83EC5D4759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57A5729-F166-6C4F-ABF5-F5C7FA3BD0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38B1802-A60A-8A48-A921-5530839F24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6E37E39-16E4-AB42-B212-8D9249E7C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027353-CE02-674C-BE16-1BE9007802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6DD774D1-BA68-944F-ABE4-397424E70A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BC3A00A-93C9-BE49-ADC8-2491B1172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1528053C-E817-0E45-B536-842996A9BA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2100"/>
          <a:ext cx="825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8A745B37-D9FE-A249-980B-2C3AA2EC2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469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15BC3FBF-61CE-6F49-B0BE-6AA8B2CB0B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25C2871-1BD6-C743-89DE-207466D80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7CC609D8-A09B-2540-9A10-14505D751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7A8696A4-A22E-2940-B5E7-232634D28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57A12A8-6DB7-8D40-935B-1BC2D3D02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5FFF70A-C533-EC47-B057-D14B097E4E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D9F3DF3B-68D3-114E-841B-E4D55A090F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69900"/>
          <a:ext cx="457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14A764A-748E-574E-BA50-BC187AABE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7628BBE9-A088-6D41-887F-96044351B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08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699FDC59-689F-D444-81E9-8281F80785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FF29973-6451-3245-B714-38DABFE60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0A0AE94D-D6CD-8140-A01A-33F347FB8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C19DF6D4-DC69-A74B-8C3E-682E890F5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0836BF9A-D63D-DD41-AE13-C581314023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DC470E46-4746-4C43-A508-4E08AB27D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08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35FC6239-35C2-3149-A972-3D85DA159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5080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42471160-E535-B34E-B04D-D8AFCEC01A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255792FD-6BB1-984D-9E55-83DA907C32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533400"/>
          <a:ext cx="8128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FB360FA-97F4-2845-8196-C1651D73C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FA3C6E9-611E-4C41-97A4-884AD661B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826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DE81E73-DBDD-BA4D-857E-9B67F55BAF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828B69A5-EE27-C442-9E8F-542D248508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C00FAA1-5363-4B4F-99D8-F48D6391B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7A06A81-84AF-9642-8DD3-C7CA3563E6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B81CAB6C-500C-2148-8CF2-FF6025698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B4505EE-7333-7643-A1C2-656BE8A34F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C39CB786-3C0A-8145-BF51-A3C2FE8886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55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A83A694-99FA-F945-9F39-CFB61E60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700" y="596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0DCCD90-80BA-FF44-A1A1-EE428C19C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D7A884B-A1F2-4B4A-9FB4-056166400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F109EAD-2E38-174D-B816-2A9075777A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EEF3A6F-64E9-0141-B4BF-18252F4EFD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7086E64-8B20-904C-89F3-C07EA2375A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74265FD-57AD-754B-9C1E-22EFF875F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2A4D62B-7DBA-5F4D-9EE1-1EE2CAF5E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596900"/>
          <a:ext cx="558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61183E1-FE6F-F349-B74B-AE4647D74B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660400" cy="342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82951ED3-8C36-4F4F-87E0-98B3D65BF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646CDA9-626F-CD40-8ECD-F9A260B3AE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33400"/>
          <a:ext cx="2171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5825C1-1A79-994F-B195-5C1007921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AC735D1-4D8D-FC42-8D54-16D33E5B0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14116079-094E-B846-80B8-91C1DEE08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588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3BF4B185-5F64-354F-B319-5539CA5525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63B1DD98-A804-7242-87A5-62E23C63B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86D17251-25FD-B842-92EB-EC6694EF5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842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C208C1-D03B-164A-9236-9E627548F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09651584-1CD8-2849-A992-7DB6B92193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363AF184-C5B6-3F42-8E24-3AA4A30770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5588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63882125-A5F6-4240-9976-07130572A4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673100"/>
          <a:ext cx="2171700" cy="215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44CA108B-54D1-0044-ADB9-C05AE84115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100"/>
          <a:ext cx="774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BE389301-6AFB-F042-92C1-F44A199A3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0" y="660400"/>
          <a:ext cx="546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CBACF07C-230B-7A4A-87DB-1C0A2C85B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080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6A0E779B-C83F-B44D-A7F2-EF8487F0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2794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B6EC6A9F-6565-F440-A648-15A74C4FC9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7D657BDA-064B-9B4E-A637-B49061F2B9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56DF0BBF-1A4A-764F-AD14-2FA2AB59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91F741D3-A2B5-D842-A549-8BBC4C0AC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3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371C6085-B4E5-2042-860B-4115D34A7A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3048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E719C455-61F3-BF42-B867-47F463C67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A2AD6570-D96F-D943-A184-34304824D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9CE726C-ACB8-424C-9354-B69A8E3A59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160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F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FCR"/>
      <sheetName val="ProcData_FCR - P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>
        <row r="10">
          <cell r="E10">
            <v>0</v>
          </cell>
        </row>
        <row r="11">
          <cell r="M11">
            <v>0.05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ColWidth="8.85546875" defaultRowHeight="12.75" x14ac:dyDescent="0.2"/>
  <cols>
    <col min="1" max="1" width="16.42578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 x14ac:dyDescent="0.2">
      <c r="A2" t="str">
        <f ca="1">MID(CELL("filename",A2),FIND("]",CELL("filename",A2))+1,255)</f>
        <v>CommData_BASE</v>
      </c>
      <c r="F2" s="53"/>
    </row>
    <row r="3" spans="1:6" ht="15" customHeight="1" x14ac:dyDescent="0.2">
      <c r="F3" s="53"/>
    </row>
    <row r="4" spans="1:6" ht="20.25" customHeight="1" x14ac:dyDescent="0.2">
      <c r="E4" s="26" t="s">
        <v>135</v>
      </c>
      <c r="F4" s="26" t="s">
        <v>135</v>
      </c>
    </row>
    <row r="5" spans="1:6" ht="19.5" customHeight="1" x14ac:dyDescent="0.2">
      <c r="E5" s="64"/>
      <c r="F5" s="53"/>
    </row>
    <row r="6" spans="1:6" ht="19.5" customHeight="1" x14ac:dyDescent="0.2">
      <c r="E6" s="64"/>
      <c r="F6" s="53"/>
    </row>
    <row r="7" spans="1:6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 x14ac:dyDescent="0.2">
      <c r="B8" s="50" t="str">
        <f>RES!O2</f>
        <v>IFAMN</v>
      </c>
      <c r="C8" s="50" t="str">
        <f>RES!O3</f>
        <v>Industry - Ferro Alloy Metals production</v>
      </c>
      <c r="D8" s="50" t="s">
        <v>117</v>
      </c>
      <c r="E8" s="96">
        <f>EB_Exist!O17</f>
        <v>0.4587</v>
      </c>
      <c r="F8" s="96">
        <f>E8</f>
        <v>0.4587</v>
      </c>
    </row>
    <row r="9" spans="1:6" s="53" customFormat="1" x14ac:dyDescent="0.2">
      <c r="B9" s="50"/>
    </row>
    <row r="10" spans="1:6" s="53" customFormat="1" x14ac:dyDescent="0.2"/>
    <row r="11" spans="1:6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L18" sqref="L18"/>
    </sheetView>
  </sheetViews>
  <sheetFormatPr defaultColWidth="9.140625" defaultRowHeight="11.25" x14ac:dyDescent="0.2"/>
  <cols>
    <col min="1" max="1" width="13.42578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241</v>
      </c>
      <c r="C9" s="53" t="s">
        <v>229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IFMEAF-E</v>
      </c>
      <c r="C10" s="50" t="str">
        <f>EB_Exist!D4</f>
        <v>FerroMn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IFMEAF-N</v>
      </c>
      <c r="C11" s="50" t="str">
        <f>RES!M12</f>
        <v>FerroMn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IFMEAFB-N</v>
      </c>
      <c r="C12" s="50" t="str">
        <f>RES!M18</f>
        <v>FerroMn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42578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AD20" sqref="AD2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42578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ProcData_FM</v>
      </c>
      <c r="H2" s="50"/>
      <c r="I2" s="53" t="s">
        <v>206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212</v>
      </c>
      <c r="R3" s="122" t="s">
        <v>214</v>
      </c>
      <c r="S3" s="122" t="s">
        <v>214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213</v>
      </c>
      <c r="R4" s="63" t="s">
        <v>215</v>
      </c>
      <c r="S4" s="63" t="s">
        <v>215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243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CO2SPIFM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IFAMN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242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IFMEAF-E</v>
      </c>
      <c r="C10" s="50" t="str">
        <f>Processes_BASE!C10</f>
        <v>FerroMn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9.8455813953488391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3.2818604651162797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12.96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IFAMN</v>
      </c>
      <c r="H13" s="123"/>
      <c r="I13" s="123">
        <f>EB_Exist!K5*0.9</f>
        <v>0.68490000000000006</v>
      </c>
      <c r="J13" s="123">
        <f>I13</f>
        <v>0.68490000000000006</v>
      </c>
      <c r="K13" s="123">
        <f>J13</f>
        <v>0.68490000000000006</v>
      </c>
      <c r="L13" s="123">
        <v>0</v>
      </c>
      <c r="M13" s="123">
        <f>L13</f>
        <v>0</v>
      </c>
      <c r="N13" s="123">
        <f>I13</f>
        <v>0.68490000000000006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IFMEAF-N</v>
      </c>
      <c r="C14" s="50" t="str">
        <f>RES!M12</f>
        <v>FerroMn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f>Z10/2</f>
        <v>4.9227906976744196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75">
        <f>AA11</f>
        <v>3.2818604651162797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f>EB_Exist!U38</f>
        <v>10.08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f>Z14*1.1</f>
        <v>5.415069767441862</v>
      </c>
    </row>
    <row r="18" spans="1:30" ht="11.25" customHeight="1" x14ac:dyDescent="0.25">
      <c r="F18" s="129" t="str">
        <f>RES!O2</f>
        <v>IFAMN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IFMEAFB-N</v>
      </c>
      <c r="C19" s="50" t="str">
        <f>RES!M18</f>
        <v>FerroMn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f>Z10*0.25</f>
        <v>2.4613953488372098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75">
        <f>AA11</f>
        <v>3.2818604651162797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f>AB16</f>
        <v>10.08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f>Z10*0.75*1.1</f>
        <v>8.1226046511627938</v>
      </c>
    </row>
    <row r="23" spans="1:30" ht="11.25" customHeight="1" x14ac:dyDescent="0.25">
      <c r="F23" s="129" t="str">
        <f>F18</f>
        <v>IFAMN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6102-6D52-4F9C-9663-262CB1699783}">
  <sheetPr>
    <tabColor theme="4"/>
  </sheetPr>
  <dimension ref="A1:J12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9" sqref="J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7.85546875" style="12" customWidth="1"/>
    <col min="9" max="16384" width="9.140625" style="12"/>
  </cols>
  <sheetData>
    <row r="1" spans="1:10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ProcData_FM - PAMS</v>
      </c>
    </row>
    <row r="3" spans="1:10" ht="34.5" customHeight="1" x14ac:dyDescent="0.2">
      <c r="A3" s="22"/>
    </row>
    <row r="4" spans="1:10" ht="21.75" customHeight="1" x14ac:dyDescent="0.2">
      <c r="A4" s="22"/>
      <c r="E4" s="46"/>
      <c r="F4" s="46"/>
      <c r="G4" s="46"/>
      <c r="H4" s="120" t="s">
        <v>149</v>
      </c>
      <c r="I4" s="12" t="str">
        <f>H4</f>
        <v>PRC_ACTFLO</v>
      </c>
      <c r="J4" s="12" t="str">
        <f>I4</f>
        <v>PRC_ACTFLO</v>
      </c>
    </row>
    <row r="5" spans="1:10" ht="16.5" customHeight="1" x14ac:dyDescent="0.2">
      <c r="A5" s="22"/>
      <c r="H5" s="12" t="str">
        <f>E9</f>
        <v>IFAELC</v>
      </c>
      <c r="I5" s="12" t="str">
        <f>H5</f>
        <v>IFAELC</v>
      </c>
      <c r="J5" s="12" t="str">
        <f>I5</f>
        <v>IFAELC</v>
      </c>
    </row>
    <row r="6" spans="1:10" ht="17.25" customHeight="1" x14ac:dyDescent="0.2">
      <c r="A6" s="22"/>
    </row>
    <row r="7" spans="1:1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12">
        <v>2012</v>
      </c>
      <c r="I7" s="12">
        <v>2020</v>
      </c>
      <c r="J7" s="12">
        <v>2030</v>
      </c>
    </row>
    <row r="8" spans="1:10" ht="11.25" customHeight="1" x14ac:dyDescent="0.2">
      <c r="A8" s="58" t="str">
        <f>Processes_BASE!A8</f>
        <v>* Conversion technologies</v>
      </c>
      <c r="B8" s="50"/>
      <c r="E8" s="129"/>
      <c r="F8" s="128"/>
    </row>
    <row r="9" spans="1:10" s="45" customFormat="1" ht="11.25" customHeight="1" x14ac:dyDescent="0.2">
      <c r="A9" s="12"/>
      <c r="B9" s="50" t="str">
        <f>Processes_BASE!B10</f>
        <v>IFMEAF-E</v>
      </c>
      <c r="C9" s="50" t="str">
        <f>Processes_BASE!C10</f>
        <v>FerroMn existing</v>
      </c>
      <c r="D9" s="50" t="str">
        <f>Processes_BASE!D10</f>
        <v>PJ,PJa</v>
      </c>
      <c r="E9" s="128" t="str">
        <f>RES!F2</f>
        <v>IFAELC</v>
      </c>
      <c r="F9" s="128" t="str">
        <f>RES!O2</f>
        <v>IFAMN</v>
      </c>
      <c r="H9" s="165">
        <f>EB_Exist!K8/EB_Exist!F5</f>
        <v>12.96</v>
      </c>
      <c r="I9" s="165">
        <f>H9</f>
        <v>12.96</v>
      </c>
      <c r="J9" s="45">
        <f>H9*(1-[1]Index!M$11)</f>
        <v>12.311999999999999</v>
      </c>
    </row>
    <row r="10" spans="1:10" s="45" customFormat="1" ht="11.25" customHeight="1" x14ac:dyDescent="0.2">
      <c r="A10" s="12"/>
      <c r="E10" s="129"/>
      <c r="F10" s="129"/>
    </row>
    <row r="11" spans="1:10" s="45" customFormat="1" ht="11.25" customHeight="1" x14ac:dyDescent="0.2">
      <c r="A11" s="12"/>
    </row>
    <row r="12" spans="1:10" s="45" customFormat="1" ht="11.25" customHeight="1" x14ac:dyDescent="0.2">
      <c r="A12" s="12"/>
      <c r="B12" s="12"/>
      <c r="C12" s="12"/>
      <c r="D12" s="12"/>
      <c r="E12" s="129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42578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G27"/>
  <sheetViews>
    <sheetView tabSelected="1" workbookViewId="0">
      <selection activeCell="F23" sqref="F23"/>
    </sheetView>
  </sheetViews>
  <sheetFormatPr defaultColWidth="8.85546875" defaultRowHeight="12.75" x14ac:dyDescent="0.2"/>
  <cols>
    <col min="2" max="3" width="18.140625" customWidth="1"/>
    <col min="4" max="4" width="21" customWidth="1"/>
    <col min="5" max="5" width="7" customWidth="1"/>
  </cols>
  <sheetData>
    <row r="3" spans="2:7" ht="18" thickBot="1" x14ac:dyDescent="0.35">
      <c r="B3" s="97" t="s">
        <v>160</v>
      </c>
      <c r="C3" s="97"/>
      <c r="D3" s="97"/>
      <c r="E3" s="94" t="s">
        <v>163</v>
      </c>
    </row>
    <row r="4" spans="2:7" ht="13.5" thickTop="1" x14ac:dyDescent="0.2"/>
    <row r="5" spans="2:7" x14ac:dyDescent="0.2">
      <c r="B5" s="94" t="s">
        <v>161</v>
      </c>
      <c r="C5" s="94" t="s">
        <v>15</v>
      </c>
      <c r="D5" s="94" t="s">
        <v>164</v>
      </c>
    </row>
    <row r="6" spans="2:7" ht="15" x14ac:dyDescent="0.25">
      <c r="B6" s="94" t="s">
        <v>162</v>
      </c>
      <c r="C6" s="94" t="s">
        <v>165</v>
      </c>
      <c r="E6" s="125">
        <v>1</v>
      </c>
    </row>
    <row r="7" spans="2:7" x14ac:dyDescent="0.2">
      <c r="D7" t="str">
        <f ca="1">Commodities_BASE!A2</f>
        <v>Commodities_BASE</v>
      </c>
      <c r="E7" s="126">
        <f t="shared" ref="E7:E11" si="0">$E$6</f>
        <v>1</v>
      </c>
    </row>
    <row r="8" spans="2:7" x14ac:dyDescent="0.2">
      <c r="D8" t="str">
        <f ca="1">CommData_BASE!A2</f>
        <v>CommData_BASE</v>
      </c>
      <c r="E8" s="126">
        <f t="shared" si="0"/>
        <v>1</v>
      </c>
    </row>
    <row r="9" spans="2:7" x14ac:dyDescent="0.2">
      <c r="D9" t="str">
        <f ca="1">Processes_BASE!A2</f>
        <v>Processes_BASE</v>
      </c>
      <c r="E9" s="126">
        <f t="shared" si="0"/>
        <v>1</v>
      </c>
    </row>
    <row r="10" spans="2:7" x14ac:dyDescent="0.2">
      <c r="D10" t="str">
        <f ca="1">'ProcData_FM - PAMS'!A2</f>
        <v>ProcData_FM - PAMS</v>
      </c>
      <c r="E10" s="126">
        <f>[1]Index!$E$10</f>
        <v>0</v>
      </c>
      <c r="G10" s="94" t="s">
        <v>294</v>
      </c>
    </row>
    <row r="11" spans="2:7" x14ac:dyDescent="0.2">
      <c r="D11" t="str">
        <f ca="1">ProcData_FM!A2</f>
        <v>ProcData_FM</v>
      </c>
      <c r="E11" s="126">
        <f t="shared" si="0"/>
        <v>1</v>
      </c>
    </row>
    <row r="12" spans="2:7" x14ac:dyDescent="0.2">
      <c r="E12" s="126"/>
    </row>
    <row r="13" spans="2:7" x14ac:dyDescent="0.2">
      <c r="E13" s="126"/>
    </row>
    <row r="14" spans="2:7" x14ac:dyDescent="0.2">
      <c r="E14" s="126"/>
    </row>
    <row r="15" spans="2:7" x14ac:dyDescent="0.2">
      <c r="E15" s="126"/>
    </row>
    <row r="16" spans="2:7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42578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42578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M22" sqref="M22"/>
    </sheetView>
  </sheetViews>
  <sheetFormatPr defaultColWidth="9.140625"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42578125" style="65" customWidth="1"/>
    <col min="11" max="11" width="4" style="65" customWidth="1"/>
    <col min="12" max="12" width="4.42578125" style="65" customWidth="1"/>
    <col min="13" max="13" width="29.85546875" style="65" customWidth="1"/>
    <col min="14" max="14" width="4" style="65" customWidth="1"/>
    <col min="15" max="16" width="3.42578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42578125" style="65" customWidth="1"/>
    <col min="21" max="27" width="3.42578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224</v>
      </c>
      <c r="E2" s="155" t="s">
        <v>226</v>
      </c>
      <c r="F2" s="166" t="s">
        <v>222</v>
      </c>
      <c r="G2" s="155" t="s">
        <v>228</v>
      </c>
      <c r="H2" s="143"/>
      <c r="I2" s="143"/>
      <c r="J2" s="91"/>
      <c r="K2" s="92"/>
      <c r="L2" s="93"/>
      <c r="M2" s="71"/>
      <c r="O2" s="166" t="s">
        <v>252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225</v>
      </c>
      <c r="E3" s="155" t="s">
        <v>227</v>
      </c>
      <c r="F3" s="166" t="s">
        <v>223</v>
      </c>
      <c r="G3" s="155" t="s">
        <v>229</v>
      </c>
      <c r="H3" s="143"/>
      <c r="I3" s="143"/>
      <c r="J3" s="91"/>
      <c r="K3" s="92"/>
      <c r="L3" s="93"/>
      <c r="M3" s="71" t="s">
        <v>127</v>
      </c>
      <c r="O3" s="155" t="s">
        <v>232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253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230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249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254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250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255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251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4"/>
  <sheetViews>
    <sheetView zoomScaleNormal="100" workbookViewId="0">
      <selection activeCell="B9" sqref="A9: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42578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42578125" customWidth="1"/>
    <col min="19" max="19" width="14.7109375" customWidth="1"/>
    <col min="21" max="21" width="21.42578125" customWidth="1"/>
    <col min="22" max="22" width="18" customWidth="1"/>
    <col min="23" max="24" width="18.42578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IFAMN</v>
      </c>
      <c r="B4" s="102" t="str">
        <f>RES!O3</f>
        <v>Industry - Ferro Alloy Metals production</v>
      </c>
      <c r="C4" s="108" t="str">
        <f>RES!M9</f>
        <v>IFMEAF-E</v>
      </c>
      <c r="D4" s="102" t="str">
        <f>RES!M5</f>
        <v>FerroMn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O17</f>
        <v>0.4587</v>
      </c>
      <c r="G5" s="136"/>
      <c r="I5" s="100"/>
      <c r="J5" s="101" t="s">
        <v>117</v>
      </c>
      <c r="K5" s="99">
        <f>Q17</f>
        <v>0.76100000000000001</v>
      </c>
      <c r="M5" s="94"/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IFMEAF-E</v>
      </c>
      <c r="I6" s="115" t="str">
        <f>D4</f>
        <v>FerroMn existing</v>
      </c>
      <c r="J6" s="117" t="s">
        <v>117</v>
      </c>
      <c r="K6" s="151">
        <f>(1-X35)*U35*F5</f>
        <v>4.5161681860465128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RES!E3</f>
        <v>Industry - Iron and Steel - Coal</v>
      </c>
      <c r="C7" s="108"/>
      <c r="D7" s="102"/>
      <c r="E7" s="114"/>
      <c r="F7" s="141"/>
      <c r="G7" s="103"/>
      <c r="H7" s="108" t="str">
        <f>RES!M9</f>
        <v>IFMEAF-E</v>
      </c>
      <c r="I7" s="102" t="str">
        <f>RES!M5</f>
        <v>FerroMn existing</v>
      </c>
      <c r="J7" s="114" t="s">
        <v>117</v>
      </c>
      <c r="K7" s="151">
        <f>X35*U35*F5</f>
        <v>1.5053893953488375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218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IFMEAF-E</v>
      </c>
      <c r="I8" s="105" t="str">
        <f>I6</f>
        <v>FerroMn existing</v>
      </c>
      <c r="J8" s="112" t="s">
        <v>117</v>
      </c>
      <c r="K8" s="151">
        <f>U33*F5</f>
        <v>5.9447520000000003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207</v>
      </c>
      <c r="AC8" t="s">
        <v>208</v>
      </c>
      <c r="AD8">
        <f>X8/1000</f>
        <v>0.18927000000000002</v>
      </c>
    </row>
    <row r="9" spans="1:30" ht="13.5" thickBot="1" x14ac:dyDescent="0.25">
      <c r="A9" t="str">
        <f>Commodities_BASE!B15</f>
        <v>CO2SPIFM</v>
      </c>
      <c r="B9" t="str">
        <f>Commodities_BASE!C15</f>
        <v>Process Emissions FerroManganese South Africa</v>
      </c>
      <c r="C9" s="102" t="str">
        <f>C4</f>
        <v>IFMEAF-E</v>
      </c>
      <c r="D9" s="102" t="str">
        <f>D4</f>
        <v>FerroMn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 t="s">
        <v>273</v>
      </c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210</v>
      </c>
      <c r="AD9" t="e">
        <f>#REF!/AB4</f>
        <v>#REF!</v>
      </c>
    </row>
    <row r="10" spans="1:30" x14ac:dyDescent="0.2">
      <c r="A10" t="s">
        <v>204</v>
      </c>
      <c r="B10" t="str">
        <f>Commodities_BASE!C16</f>
        <v>CH4S South Africa</v>
      </c>
      <c r="C10" t="str">
        <f>C9</f>
        <v>IFMEAF-E</v>
      </c>
      <c r="D10" t="str">
        <f>D9</f>
        <v>FerroMn existing</v>
      </c>
      <c r="E10" s="152" t="s">
        <v>142</v>
      </c>
      <c r="F10">
        <v>0</v>
      </c>
      <c r="M10" s="94"/>
      <c r="U10" s="149" t="s">
        <v>198</v>
      </c>
      <c r="AC10" s="94" t="s">
        <v>219</v>
      </c>
      <c r="AD10" t="e">
        <f>1/AD9</f>
        <v>#REF!</v>
      </c>
    </row>
    <row r="11" spans="1:30" x14ac:dyDescent="0.2">
      <c r="AC11" s="94" t="s">
        <v>221</v>
      </c>
      <c r="AD11">
        <f>X5/3600</f>
        <v>0.10833333333333334</v>
      </c>
    </row>
    <row r="12" spans="1:30" x14ac:dyDescent="0.2">
      <c r="M12" s="94"/>
      <c r="AC12" s="94" t="s">
        <v>220</v>
      </c>
      <c r="AD12">
        <f>AD11/AB4</f>
        <v>5.8243727598566303E-3</v>
      </c>
    </row>
    <row r="13" spans="1:30" x14ac:dyDescent="0.2">
      <c r="O13" s="94" t="s">
        <v>244</v>
      </c>
    </row>
    <row r="14" spans="1:30" x14ac:dyDescent="0.2">
      <c r="O14" s="108"/>
      <c r="P14" s="102"/>
      <c r="Q14" s="102"/>
      <c r="R14" s="102"/>
      <c r="S14" s="102"/>
      <c r="T14" s="103"/>
    </row>
    <row r="15" spans="1:30" x14ac:dyDescent="0.2">
      <c r="O15" s="98">
        <v>2017</v>
      </c>
      <c r="P15" s="100"/>
      <c r="Q15" s="101" t="s">
        <v>248</v>
      </c>
      <c r="R15" s="100"/>
      <c r="S15" s="100"/>
      <c r="T15" s="167"/>
      <c r="AB15" s="94" t="s">
        <v>217</v>
      </c>
    </row>
    <row r="16" spans="1:30" x14ac:dyDescent="0.2">
      <c r="M16" s="94"/>
      <c r="O16" s="98">
        <v>3.7</v>
      </c>
      <c r="P16" s="101" t="s">
        <v>245</v>
      </c>
      <c r="Q16" s="100">
        <v>4.8</v>
      </c>
      <c r="R16" s="100"/>
      <c r="S16" s="100"/>
      <c r="T16" s="167"/>
      <c r="AB16" t="s">
        <v>207</v>
      </c>
      <c r="AC16" t="s">
        <v>208</v>
      </c>
      <c r="AD16">
        <f>W8/1000</f>
        <v>0.21101</v>
      </c>
    </row>
    <row r="17" spans="1:30" x14ac:dyDescent="0.2">
      <c r="N17" s="94" t="s">
        <v>271</v>
      </c>
      <c r="O17" s="98">
        <v>0.4587</v>
      </c>
      <c r="P17" s="101" t="s">
        <v>246</v>
      </c>
      <c r="Q17" s="100">
        <f>T17/1000</f>
        <v>0.76100000000000001</v>
      </c>
      <c r="R17" s="101" t="s">
        <v>256</v>
      </c>
      <c r="S17" s="100"/>
      <c r="T17" s="167">
        <f>312+116+132+161+40</f>
        <v>761</v>
      </c>
      <c r="AC17" t="s">
        <v>209</v>
      </c>
      <c r="AD17">
        <f>AD16*AB6</f>
        <v>25.321200000000001</v>
      </c>
    </row>
    <row r="18" spans="1:30" x14ac:dyDescent="0.2">
      <c r="M18" s="94"/>
      <c r="O18" s="98">
        <v>0.2</v>
      </c>
      <c r="P18" s="101" t="s">
        <v>247</v>
      </c>
      <c r="Q18" s="100">
        <f>O18</f>
        <v>0.2</v>
      </c>
      <c r="R18" s="100"/>
      <c r="S18" s="100"/>
      <c r="T18" s="167"/>
      <c r="AC18" t="s">
        <v>210</v>
      </c>
      <c r="AD18">
        <f>AD17/AB4</f>
        <v>1.3613548387096774</v>
      </c>
    </row>
    <row r="19" spans="1:30" x14ac:dyDescent="0.2">
      <c r="O19" s="98">
        <f>SUM(O16:O18)</f>
        <v>4.3587000000000007</v>
      </c>
      <c r="P19" s="100"/>
      <c r="Q19" s="100">
        <f>SUM(Q16:Q18)</f>
        <v>5.7610000000000001</v>
      </c>
      <c r="R19" s="100"/>
      <c r="S19" s="100"/>
      <c r="T19" s="167"/>
      <c r="AC19" s="94" t="s">
        <v>219</v>
      </c>
      <c r="AD19">
        <f>1/AD18</f>
        <v>0.73456234301691858</v>
      </c>
    </row>
    <row r="20" spans="1:30" x14ac:dyDescent="0.2">
      <c r="M20" s="94"/>
      <c r="O20" s="98"/>
      <c r="P20" s="100"/>
      <c r="Q20" s="100"/>
      <c r="R20" s="100"/>
      <c r="S20" s="100"/>
      <c r="T20" s="167"/>
    </row>
    <row r="21" spans="1:30" ht="15" customHeight="1" x14ac:dyDescent="0.2">
      <c r="M21" s="94"/>
      <c r="O21" s="104"/>
      <c r="P21" s="105"/>
      <c r="Q21" s="105"/>
      <c r="R21" s="105"/>
      <c r="S21" s="105"/>
      <c r="T21" s="106"/>
    </row>
    <row r="22" spans="1:30" x14ac:dyDescent="0.2">
      <c r="M22" s="94"/>
    </row>
    <row r="23" spans="1:30" x14ac:dyDescent="0.2">
      <c r="M23" s="94"/>
      <c r="O23" s="168" t="s">
        <v>275</v>
      </c>
      <c r="P23" s="169"/>
      <c r="Q23" s="169"/>
      <c r="R23" s="169"/>
      <c r="S23" s="169"/>
      <c r="T23" s="169"/>
      <c r="U23" s="169"/>
      <c r="V23" s="169"/>
      <c r="W23" s="169"/>
    </row>
    <row r="24" spans="1:30" x14ac:dyDescent="0.2">
      <c r="A24" t="s">
        <v>222</v>
      </c>
      <c r="B24" t="s">
        <v>211</v>
      </c>
      <c r="C24" t="s">
        <v>211</v>
      </c>
      <c r="D24" t="s">
        <v>233</v>
      </c>
      <c r="E24" t="s">
        <v>211</v>
      </c>
      <c r="F24">
        <v>14.866300000000001</v>
      </c>
      <c r="I24">
        <v>15.020799999999999</v>
      </c>
      <c r="J24">
        <v>14.0608</v>
      </c>
      <c r="K24">
        <v>13.753500000000001</v>
      </c>
      <c r="M24" s="94"/>
      <c r="O24" s="169"/>
      <c r="P24" s="169"/>
      <c r="Q24" s="169" t="s">
        <v>257</v>
      </c>
      <c r="R24" s="169" t="s">
        <v>258</v>
      </c>
      <c r="S24" s="169"/>
      <c r="T24" s="169"/>
      <c r="U24" s="169"/>
      <c r="V24" s="169"/>
      <c r="W24" s="169"/>
    </row>
    <row r="25" spans="1:30" x14ac:dyDescent="0.2">
      <c r="A25" t="s">
        <v>222</v>
      </c>
      <c r="B25" t="s">
        <v>211</v>
      </c>
      <c r="C25" t="s">
        <v>211</v>
      </c>
      <c r="D25" t="s">
        <v>234</v>
      </c>
      <c r="E25" t="s">
        <v>211</v>
      </c>
      <c r="F25">
        <v>18.169699999999999</v>
      </c>
      <c r="I25">
        <v>18.358499999999999</v>
      </c>
      <c r="J25">
        <v>17.185199999999998</v>
      </c>
      <c r="K25">
        <v>16.8096</v>
      </c>
      <c r="M25" s="94"/>
      <c r="O25" s="169" t="s">
        <v>259</v>
      </c>
      <c r="P25" s="169" t="s">
        <v>260</v>
      </c>
      <c r="Q25" s="169">
        <v>480</v>
      </c>
      <c r="R25" s="169">
        <v>312</v>
      </c>
      <c r="S25" s="169" t="s">
        <v>261</v>
      </c>
      <c r="T25" s="170" t="s">
        <v>291</v>
      </c>
      <c r="U25" s="169"/>
      <c r="V25" s="169"/>
      <c r="W25" s="169"/>
    </row>
    <row r="26" spans="1:30" x14ac:dyDescent="0.2">
      <c r="A26" t="s">
        <v>222</v>
      </c>
      <c r="B26" t="s">
        <v>211</v>
      </c>
      <c r="C26" t="s">
        <v>211</v>
      </c>
      <c r="D26" t="s">
        <v>235</v>
      </c>
      <c r="E26" t="s">
        <v>211</v>
      </c>
      <c r="F26">
        <v>6.6073000000000004</v>
      </c>
      <c r="I26">
        <v>6.6760000000000002</v>
      </c>
      <c r="J26">
        <v>6.2492999999999999</v>
      </c>
      <c r="K26">
        <v>6.1127000000000002</v>
      </c>
      <c r="M26" s="94"/>
      <c r="O26" s="169"/>
      <c r="P26" s="169" t="s">
        <v>262</v>
      </c>
      <c r="Q26" s="169">
        <v>240</v>
      </c>
      <c r="R26" s="169">
        <v>116</v>
      </c>
      <c r="S26" s="169" t="s">
        <v>261</v>
      </c>
      <c r="T26" s="170" t="s">
        <v>290</v>
      </c>
      <c r="U26" s="169"/>
      <c r="V26" s="169"/>
      <c r="W26" s="169"/>
    </row>
    <row r="27" spans="1:30" x14ac:dyDescent="0.2">
      <c r="A27" t="s">
        <v>222</v>
      </c>
      <c r="B27" t="s">
        <v>211</v>
      </c>
      <c r="C27" t="s">
        <v>211</v>
      </c>
      <c r="D27" t="s">
        <v>236</v>
      </c>
      <c r="E27" t="s">
        <v>211</v>
      </c>
      <c r="F27">
        <v>5.4819000000000004</v>
      </c>
      <c r="I27">
        <v>5.5388000000000002</v>
      </c>
      <c r="J27">
        <v>5.1848999999999998</v>
      </c>
      <c r="K27">
        <v>5.0716000000000001</v>
      </c>
      <c r="M27" s="94"/>
      <c r="O27" s="169"/>
      <c r="P27" s="169" t="s">
        <v>263</v>
      </c>
      <c r="Q27" s="169">
        <v>270</v>
      </c>
      <c r="R27" s="169">
        <v>132</v>
      </c>
      <c r="S27" s="169" t="s">
        <v>261</v>
      </c>
      <c r="T27" s="170" t="s">
        <v>290</v>
      </c>
      <c r="U27" s="169"/>
      <c r="V27" s="169"/>
      <c r="W27" s="169"/>
    </row>
    <row r="28" spans="1:30" x14ac:dyDescent="0.2">
      <c r="A28" t="s">
        <v>222</v>
      </c>
      <c r="B28" t="s">
        <v>211</v>
      </c>
      <c r="C28" t="s">
        <v>211</v>
      </c>
      <c r="D28" t="s">
        <v>237</v>
      </c>
      <c r="E28" t="s">
        <v>211</v>
      </c>
      <c r="F28">
        <v>2.7408999999999999</v>
      </c>
      <c r="I28">
        <v>2.7694000000000001</v>
      </c>
      <c r="J28">
        <v>2.5924</v>
      </c>
      <c r="K28">
        <v>2.5358000000000001</v>
      </c>
      <c r="M28" s="94"/>
      <c r="O28" s="169"/>
      <c r="P28" s="169" t="s">
        <v>264</v>
      </c>
      <c r="Q28" s="169">
        <v>180</v>
      </c>
      <c r="R28" s="169">
        <v>161</v>
      </c>
      <c r="S28" s="169" t="s">
        <v>265</v>
      </c>
      <c r="T28" s="170" t="s">
        <v>290</v>
      </c>
      <c r="U28" s="169"/>
      <c r="V28" s="169"/>
      <c r="W28" s="169"/>
    </row>
    <row r="29" spans="1:30" x14ac:dyDescent="0.2">
      <c r="A29" t="s">
        <v>222</v>
      </c>
      <c r="B29" t="s">
        <v>211</v>
      </c>
      <c r="C29" t="s">
        <v>211</v>
      </c>
      <c r="D29" t="s">
        <v>238</v>
      </c>
      <c r="E29" t="s">
        <v>211</v>
      </c>
      <c r="F29">
        <v>4.7964000000000002</v>
      </c>
      <c r="I29">
        <v>4.8461999999999996</v>
      </c>
      <c r="J29">
        <v>4.5365000000000002</v>
      </c>
      <c r="K29">
        <v>4.4374000000000002</v>
      </c>
      <c r="M29" s="94"/>
      <c r="O29" s="169"/>
      <c r="P29" s="169" t="s">
        <v>266</v>
      </c>
      <c r="Q29" s="169">
        <v>40</v>
      </c>
      <c r="R29" s="169">
        <v>40</v>
      </c>
      <c r="S29" s="169" t="s">
        <v>265</v>
      </c>
      <c r="T29" s="169" t="s">
        <v>267</v>
      </c>
      <c r="U29" s="169"/>
      <c r="V29" s="169"/>
      <c r="W29" s="169"/>
    </row>
    <row r="30" spans="1:30" x14ac:dyDescent="0.2">
      <c r="A30" t="s">
        <v>222</v>
      </c>
      <c r="B30" t="s">
        <v>211</v>
      </c>
      <c r="C30" t="s">
        <v>211</v>
      </c>
      <c r="D30" t="s">
        <v>239</v>
      </c>
      <c r="E30" t="s">
        <v>211</v>
      </c>
      <c r="F30">
        <v>2.0554000000000001</v>
      </c>
      <c r="I30">
        <v>2.0768</v>
      </c>
      <c r="J30">
        <v>1.9440999999999999</v>
      </c>
      <c r="K30">
        <v>1.9016</v>
      </c>
      <c r="M30" s="94"/>
      <c r="O30" s="169"/>
      <c r="P30" s="169"/>
      <c r="Q30" s="169"/>
      <c r="R30" s="169"/>
      <c r="S30" s="169"/>
      <c r="T30" s="169"/>
      <c r="U30" s="169"/>
      <c r="V30" s="169"/>
      <c r="W30" s="169"/>
    </row>
    <row r="31" spans="1:30" ht="31.5" customHeight="1" x14ac:dyDescent="0.2">
      <c r="A31" t="s">
        <v>222</v>
      </c>
      <c r="B31" t="s">
        <v>211</v>
      </c>
      <c r="C31" t="s">
        <v>211</v>
      </c>
      <c r="D31" t="s">
        <v>240</v>
      </c>
      <c r="E31" t="s">
        <v>211</v>
      </c>
      <c r="F31">
        <v>1.3705000000000001</v>
      </c>
      <c r="I31">
        <v>1.3847</v>
      </c>
      <c r="J31">
        <v>1.2962</v>
      </c>
      <c r="K31">
        <v>1.2679</v>
      </c>
      <c r="M31" s="94"/>
      <c r="O31" s="169"/>
      <c r="P31" s="169"/>
      <c r="Q31" s="169"/>
      <c r="R31" s="169"/>
      <c r="S31" s="169"/>
      <c r="T31" s="169"/>
      <c r="U31" s="169"/>
      <c r="V31" s="169"/>
      <c r="W31" s="169"/>
    </row>
    <row r="32" spans="1:30" x14ac:dyDescent="0.2">
      <c r="A32" t="s">
        <v>224</v>
      </c>
      <c r="B32" t="s">
        <v>211</v>
      </c>
      <c r="C32" t="s">
        <v>211</v>
      </c>
      <c r="D32" t="s">
        <v>233</v>
      </c>
      <c r="E32" t="s">
        <v>211</v>
      </c>
      <c r="F32">
        <v>10.5951</v>
      </c>
      <c r="I32">
        <v>11.6393</v>
      </c>
      <c r="J32">
        <v>11.2362</v>
      </c>
      <c r="K32">
        <v>11.353199999999999</v>
      </c>
      <c r="M32" s="94"/>
      <c r="O32" s="172"/>
      <c r="P32" s="172"/>
      <c r="Q32" s="172"/>
      <c r="R32" s="173" t="s">
        <v>277</v>
      </c>
      <c r="S32" s="173" t="s">
        <v>278</v>
      </c>
      <c r="T32" s="173" t="s">
        <v>279</v>
      </c>
      <c r="U32" s="170" t="s">
        <v>281</v>
      </c>
      <c r="V32" s="173" t="s">
        <v>276</v>
      </c>
      <c r="W32" s="173" t="s">
        <v>280</v>
      </c>
      <c r="X32" s="174" t="s">
        <v>274</v>
      </c>
    </row>
    <row r="33" spans="1:24" x14ac:dyDescent="0.2">
      <c r="A33" t="s">
        <v>224</v>
      </c>
      <c r="B33" t="s">
        <v>211</v>
      </c>
      <c r="C33" t="s">
        <v>211</v>
      </c>
      <c r="D33" t="s">
        <v>234</v>
      </c>
      <c r="E33" t="s">
        <v>211</v>
      </c>
      <c r="F33">
        <v>12.949299999999999</v>
      </c>
      <c r="I33">
        <v>14.2256</v>
      </c>
      <c r="J33">
        <v>13.732900000000001</v>
      </c>
      <c r="K33">
        <v>13.8759</v>
      </c>
      <c r="M33" s="94"/>
      <c r="O33" s="170" t="s">
        <v>268</v>
      </c>
      <c r="P33" s="170" t="s">
        <v>270</v>
      </c>
      <c r="Q33" s="170" t="s">
        <v>269</v>
      </c>
      <c r="R33" s="169">
        <v>2.1520000000000001</v>
      </c>
      <c r="S33" s="169">
        <v>3.395</v>
      </c>
      <c r="T33" s="169">
        <v>3.6</v>
      </c>
      <c r="U33" s="169">
        <f>T33*3.6</f>
        <v>12.96</v>
      </c>
      <c r="V33" s="169">
        <f>T33*O17*1000</f>
        <v>1651.3200000000002</v>
      </c>
      <c r="W33" s="169">
        <f>V33*3.6/1000</f>
        <v>5.9447520000000003</v>
      </c>
      <c r="X33" s="169"/>
    </row>
    <row r="34" spans="1:24" x14ac:dyDescent="0.2">
      <c r="A34" t="s">
        <v>224</v>
      </c>
      <c r="B34" t="s">
        <v>211</v>
      </c>
      <c r="C34" t="s">
        <v>211</v>
      </c>
      <c r="D34" t="s">
        <v>235</v>
      </c>
      <c r="E34" t="s">
        <v>211</v>
      </c>
      <c r="F34">
        <v>4.7089999999999996</v>
      </c>
      <c r="I34">
        <v>5.1730999999999998</v>
      </c>
      <c r="J34">
        <v>4.9939</v>
      </c>
      <c r="K34">
        <v>5.0458999999999996</v>
      </c>
      <c r="M34" s="94"/>
      <c r="O34" s="170" t="s">
        <v>268</v>
      </c>
      <c r="P34" s="170" t="s">
        <v>265</v>
      </c>
      <c r="Q34" s="169"/>
      <c r="R34" s="169"/>
      <c r="S34" s="169"/>
      <c r="T34" s="169">
        <v>4.8</v>
      </c>
      <c r="U34" s="169"/>
      <c r="V34" s="169"/>
      <c r="W34" s="169"/>
      <c r="X34" s="169"/>
    </row>
    <row r="35" spans="1:24" x14ac:dyDescent="0.2">
      <c r="A35" t="s">
        <v>224</v>
      </c>
      <c r="B35" t="s">
        <v>211</v>
      </c>
      <c r="C35" t="s">
        <v>211</v>
      </c>
      <c r="D35" t="s">
        <v>236</v>
      </c>
      <c r="E35" t="s">
        <v>211</v>
      </c>
      <c r="F35">
        <v>3.9068999999999998</v>
      </c>
      <c r="I35">
        <v>4.2919999999999998</v>
      </c>
      <c r="J35">
        <v>4.1433</v>
      </c>
      <c r="K35">
        <v>4.1864999999999997</v>
      </c>
      <c r="M35" s="94"/>
      <c r="O35" s="170" t="s">
        <v>272</v>
      </c>
      <c r="P35" s="169"/>
      <c r="Q35" s="169"/>
      <c r="R35" s="169"/>
      <c r="S35" s="169"/>
      <c r="T35" s="169"/>
      <c r="U35" s="169">
        <f>2.8*3.6*0.56/0.43</f>
        <v>13.127441860465119</v>
      </c>
      <c r="V35" s="169"/>
      <c r="W35" s="169">
        <f>W33*0.56/0.43</f>
        <v>7.7420026046511641</v>
      </c>
      <c r="X35" s="171">
        <v>0.25</v>
      </c>
    </row>
    <row r="36" spans="1:24" x14ac:dyDescent="0.2">
      <c r="A36" t="s">
        <v>224</v>
      </c>
      <c r="B36" t="s">
        <v>211</v>
      </c>
      <c r="C36" t="s">
        <v>211</v>
      </c>
      <c r="D36" t="s">
        <v>237</v>
      </c>
      <c r="E36" t="s">
        <v>211</v>
      </c>
      <c r="F36">
        <v>1.9534</v>
      </c>
      <c r="I36">
        <v>2.1459999999999999</v>
      </c>
      <c r="J36">
        <v>2.0716000000000001</v>
      </c>
      <c r="K36">
        <v>2.0931999999999999</v>
      </c>
      <c r="M36" s="94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4" x14ac:dyDescent="0.2">
      <c r="A37" t="s">
        <v>224</v>
      </c>
      <c r="B37" t="s">
        <v>211</v>
      </c>
      <c r="C37" t="s">
        <v>211</v>
      </c>
      <c r="D37" t="s">
        <v>238</v>
      </c>
      <c r="E37" t="s">
        <v>211</v>
      </c>
      <c r="F37">
        <v>3.4182999999999999</v>
      </c>
      <c r="I37">
        <v>3.7551999999999999</v>
      </c>
      <c r="J37">
        <v>3.6252</v>
      </c>
      <c r="K37">
        <v>3.6629</v>
      </c>
      <c r="M37" s="94"/>
      <c r="O37" s="169"/>
      <c r="P37" s="169"/>
      <c r="Q37" s="169"/>
      <c r="R37" s="169"/>
      <c r="S37" s="169"/>
      <c r="T37" s="169"/>
      <c r="U37" s="169"/>
      <c r="V37" s="169"/>
      <c r="W37" s="169"/>
    </row>
    <row r="38" spans="1:24" x14ac:dyDescent="0.2">
      <c r="A38" t="s">
        <v>224</v>
      </c>
      <c r="B38" t="s">
        <v>211</v>
      </c>
      <c r="C38" t="s">
        <v>211</v>
      </c>
      <c r="D38" t="s">
        <v>239</v>
      </c>
      <c r="E38" t="s">
        <v>211</v>
      </c>
      <c r="F38">
        <v>1.4649000000000001</v>
      </c>
      <c r="I38">
        <v>1.6093</v>
      </c>
      <c r="J38">
        <v>1.5535000000000001</v>
      </c>
      <c r="K38">
        <v>1.5697000000000001</v>
      </c>
      <c r="M38" s="94"/>
      <c r="O38" s="170" t="s">
        <v>282</v>
      </c>
      <c r="P38" s="169"/>
      <c r="Q38" s="169"/>
      <c r="R38" s="169"/>
      <c r="S38" s="169"/>
      <c r="T38" s="169">
        <v>2.8</v>
      </c>
      <c r="U38" s="169">
        <f>T38*3.6</f>
        <v>10.08</v>
      </c>
      <c r="V38" s="170" t="s">
        <v>284</v>
      </c>
      <c r="W38" s="169"/>
    </row>
    <row r="39" spans="1:24" x14ac:dyDescent="0.2">
      <c r="A39" t="s">
        <v>224</v>
      </c>
      <c r="B39" t="s">
        <v>211</v>
      </c>
      <c r="C39" t="s">
        <v>211</v>
      </c>
      <c r="D39" t="s">
        <v>240</v>
      </c>
      <c r="E39" t="s">
        <v>211</v>
      </c>
      <c r="F39">
        <v>0.97670000000000001</v>
      </c>
      <c r="I39">
        <v>1.073</v>
      </c>
      <c r="J39">
        <v>1.0358000000000001</v>
      </c>
      <c r="K39">
        <v>1.0466</v>
      </c>
      <c r="M39" s="94"/>
    </row>
    <row r="40" spans="1:24" x14ac:dyDescent="0.2">
      <c r="A40" t="s">
        <v>226</v>
      </c>
      <c r="B40" t="s">
        <v>211</v>
      </c>
      <c r="C40" t="s">
        <v>211</v>
      </c>
      <c r="D40" t="s">
        <v>233</v>
      </c>
      <c r="E40" t="s">
        <v>211</v>
      </c>
      <c r="F40">
        <v>13.5779</v>
      </c>
      <c r="I40">
        <v>17.5762</v>
      </c>
      <c r="J40">
        <v>17.8596</v>
      </c>
      <c r="K40">
        <v>18.9665</v>
      </c>
      <c r="M40" s="94"/>
    </row>
    <row r="41" spans="1:24" x14ac:dyDescent="0.2">
      <c r="A41" t="s">
        <v>226</v>
      </c>
      <c r="B41" t="s">
        <v>211</v>
      </c>
      <c r="C41" t="s">
        <v>211</v>
      </c>
      <c r="D41" t="s">
        <v>234</v>
      </c>
      <c r="E41" t="s">
        <v>211</v>
      </c>
      <c r="F41">
        <v>16.594999999999999</v>
      </c>
      <c r="I41">
        <v>21.4817</v>
      </c>
      <c r="J41">
        <v>21.828099999999999</v>
      </c>
      <c r="K41">
        <v>23.181000000000001</v>
      </c>
      <c r="M41" s="94"/>
      <c r="O41" s="176" t="s">
        <v>283</v>
      </c>
      <c r="P41" s="176" t="s">
        <v>285</v>
      </c>
      <c r="Q41" s="177"/>
      <c r="R41" s="177">
        <v>84.69</v>
      </c>
      <c r="S41" s="176" t="s">
        <v>286</v>
      </c>
      <c r="T41" s="177"/>
      <c r="U41" s="177"/>
      <c r="V41" s="177"/>
      <c r="W41" s="177"/>
    </row>
    <row r="42" spans="1:24" x14ac:dyDescent="0.2">
      <c r="A42" t="s">
        <v>226</v>
      </c>
      <c r="B42" t="s">
        <v>211</v>
      </c>
      <c r="C42" t="s">
        <v>211</v>
      </c>
      <c r="D42" t="s">
        <v>235</v>
      </c>
      <c r="E42" t="s">
        <v>211</v>
      </c>
      <c r="F42">
        <v>6.0347</v>
      </c>
      <c r="I42">
        <v>7.8117000000000001</v>
      </c>
      <c r="J42">
        <v>7.9377000000000004</v>
      </c>
      <c r="K42">
        <v>8.4296000000000006</v>
      </c>
      <c r="M42" s="94"/>
      <c r="O42" s="176" t="s">
        <v>146</v>
      </c>
      <c r="P42" s="176" t="s">
        <v>285</v>
      </c>
      <c r="Q42" s="177"/>
      <c r="R42" s="177">
        <v>47.74</v>
      </c>
      <c r="S42" s="176" t="s">
        <v>287</v>
      </c>
      <c r="T42" s="177"/>
      <c r="U42" s="177"/>
      <c r="V42" s="177"/>
      <c r="W42" s="177"/>
    </row>
    <row r="43" spans="1:24" x14ac:dyDescent="0.2">
      <c r="A43" t="s">
        <v>226</v>
      </c>
      <c r="B43" t="s">
        <v>211</v>
      </c>
      <c r="C43" t="s">
        <v>211</v>
      </c>
      <c r="D43" t="s">
        <v>236</v>
      </c>
      <c r="E43" t="s">
        <v>211</v>
      </c>
      <c r="F43">
        <v>5.0068000000000001</v>
      </c>
      <c r="I43">
        <v>6.4812000000000003</v>
      </c>
      <c r="J43">
        <v>6.5857000000000001</v>
      </c>
      <c r="K43">
        <v>6.9938000000000002</v>
      </c>
      <c r="M43" s="94"/>
      <c r="O43" s="176" t="s">
        <v>288</v>
      </c>
      <c r="P43" s="176" t="s">
        <v>285</v>
      </c>
      <c r="Q43" s="177"/>
      <c r="R43" s="177">
        <v>79</v>
      </c>
      <c r="S43" s="176" t="s">
        <v>289</v>
      </c>
      <c r="T43" s="177"/>
      <c r="U43" s="177"/>
      <c r="V43" s="177"/>
      <c r="W43" s="177"/>
    </row>
    <row r="44" spans="1:24" x14ac:dyDescent="0.2">
      <c r="A44" t="s">
        <v>226</v>
      </c>
      <c r="B44" t="s">
        <v>211</v>
      </c>
      <c r="C44" t="s">
        <v>211</v>
      </c>
      <c r="D44" t="s">
        <v>237</v>
      </c>
      <c r="E44" t="s">
        <v>211</v>
      </c>
      <c r="F44">
        <v>2.5034000000000001</v>
      </c>
      <c r="I44">
        <v>3.2406000000000001</v>
      </c>
      <c r="J44">
        <v>3.2928000000000002</v>
      </c>
      <c r="K44">
        <v>3.4969000000000001</v>
      </c>
      <c r="M44" s="94"/>
    </row>
    <row r="45" spans="1:24" x14ac:dyDescent="0.2">
      <c r="A45" t="s">
        <v>226</v>
      </c>
      <c r="B45" t="s">
        <v>211</v>
      </c>
      <c r="C45" t="s">
        <v>211</v>
      </c>
      <c r="D45" t="s">
        <v>238</v>
      </c>
      <c r="E45" t="s">
        <v>211</v>
      </c>
      <c r="F45">
        <v>4.3807</v>
      </c>
      <c r="I45">
        <v>5.6707000000000001</v>
      </c>
      <c r="J45">
        <v>5.7621000000000002</v>
      </c>
      <c r="K45">
        <v>6.1192000000000002</v>
      </c>
      <c r="M45" s="94"/>
    </row>
    <row r="46" spans="1:24" x14ac:dyDescent="0.2">
      <c r="A46" t="s">
        <v>226</v>
      </c>
      <c r="B46" t="s">
        <v>211</v>
      </c>
      <c r="C46" t="s">
        <v>211</v>
      </c>
      <c r="D46" t="s">
        <v>239</v>
      </c>
      <c r="E46" t="s">
        <v>211</v>
      </c>
      <c r="F46">
        <v>1.8773</v>
      </c>
      <c r="I46">
        <v>2.4300999999999999</v>
      </c>
      <c r="J46">
        <v>2.4693000000000001</v>
      </c>
      <c r="K46">
        <v>2.6223000000000001</v>
      </c>
      <c r="M46" s="94"/>
    </row>
    <row r="47" spans="1:24" x14ac:dyDescent="0.2">
      <c r="A47" t="s">
        <v>226</v>
      </c>
      <c r="B47" t="s">
        <v>211</v>
      </c>
      <c r="C47" t="s">
        <v>211</v>
      </c>
      <c r="D47" t="s">
        <v>240</v>
      </c>
      <c r="E47" t="s">
        <v>211</v>
      </c>
      <c r="F47">
        <v>1.2517</v>
      </c>
      <c r="I47">
        <v>1.6203000000000001</v>
      </c>
      <c r="J47">
        <v>1.6464000000000001</v>
      </c>
      <c r="K47">
        <v>1.7484999999999999</v>
      </c>
      <c r="M47" s="94"/>
    </row>
    <row r="48" spans="1:24" x14ac:dyDescent="0.2">
      <c r="A48" t="s">
        <v>204</v>
      </c>
      <c r="B48" t="s">
        <v>211</v>
      </c>
      <c r="C48" t="s">
        <v>211</v>
      </c>
      <c r="D48" t="s">
        <v>233</v>
      </c>
      <c r="E48" t="s">
        <v>211</v>
      </c>
      <c r="F48">
        <v>3.8899999999999997E-2</v>
      </c>
      <c r="I48">
        <v>4.2700000000000002E-2</v>
      </c>
      <c r="J48">
        <v>4.1200000000000001E-2</v>
      </c>
      <c r="K48">
        <v>4.1700000000000001E-2</v>
      </c>
      <c r="M48" s="94"/>
    </row>
    <row r="49" spans="1:13" x14ac:dyDescent="0.2">
      <c r="A49" t="s">
        <v>204</v>
      </c>
      <c r="B49" t="s">
        <v>211</v>
      </c>
      <c r="C49" t="s">
        <v>211</v>
      </c>
      <c r="D49" t="s">
        <v>234</v>
      </c>
      <c r="E49" t="s">
        <v>211</v>
      </c>
      <c r="F49">
        <v>4.7500000000000001E-2</v>
      </c>
      <c r="I49">
        <v>5.2200000000000003E-2</v>
      </c>
      <c r="J49">
        <v>5.04E-2</v>
      </c>
      <c r="K49">
        <v>5.0900000000000001E-2</v>
      </c>
      <c r="M49" s="94"/>
    </row>
    <row r="50" spans="1:13" x14ac:dyDescent="0.2">
      <c r="A50" t="s">
        <v>204</v>
      </c>
      <c r="B50" t="s">
        <v>211</v>
      </c>
      <c r="C50" t="s">
        <v>211</v>
      </c>
      <c r="D50" t="s">
        <v>235</v>
      </c>
      <c r="E50" t="s">
        <v>211</v>
      </c>
      <c r="F50">
        <v>1.7299999999999999E-2</v>
      </c>
      <c r="I50">
        <v>1.9E-2</v>
      </c>
      <c r="J50">
        <v>1.83E-2</v>
      </c>
      <c r="K50">
        <v>1.8499999999999999E-2</v>
      </c>
      <c r="M50" s="94"/>
    </row>
    <row r="51" spans="1:13" x14ac:dyDescent="0.2">
      <c r="A51" t="s">
        <v>204</v>
      </c>
      <c r="B51" t="s">
        <v>211</v>
      </c>
      <c r="C51" t="s">
        <v>211</v>
      </c>
      <c r="D51" t="s">
        <v>236</v>
      </c>
      <c r="E51" t="s">
        <v>211</v>
      </c>
      <c r="F51">
        <v>1.43E-2</v>
      </c>
      <c r="I51">
        <v>1.5699999999999999E-2</v>
      </c>
      <c r="J51">
        <v>1.52E-2</v>
      </c>
      <c r="K51">
        <v>1.54E-2</v>
      </c>
      <c r="M51" s="94"/>
    </row>
    <row r="52" spans="1:13" x14ac:dyDescent="0.2">
      <c r="A52" t="s">
        <v>204</v>
      </c>
      <c r="B52" t="s">
        <v>211</v>
      </c>
      <c r="C52" t="s">
        <v>211</v>
      </c>
      <c r="D52" t="s">
        <v>237</v>
      </c>
      <c r="E52" t="s">
        <v>211</v>
      </c>
      <c r="F52">
        <v>7.1999999999999998E-3</v>
      </c>
      <c r="I52">
        <v>7.9000000000000008E-3</v>
      </c>
      <c r="J52">
        <v>7.6E-3</v>
      </c>
      <c r="K52">
        <v>7.7000000000000002E-3</v>
      </c>
      <c r="M52" s="94"/>
    </row>
    <row r="53" spans="1:13" x14ac:dyDescent="0.2">
      <c r="A53" t="s">
        <v>204</v>
      </c>
      <c r="B53" t="s">
        <v>211</v>
      </c>
      <c r="C53" t="s">
        <v>211</v>
      </c>
      <c r="D53" t="s">
        <v>238</v>
      </c>
      <c r="E53" t="s">
        <v>211</v>
      </c>
      <c r="F53">
        <v>1.2500000000000001E-2</v>
      </c>
      <c r="I53">
        <v>1.38E-2</v>
      </c>
      <c r="J53">
        <v>1.3299999999999999E-2</v>
      </c>
      <c r="K53">
        <v>1.34E-2</v>
      </c>
      <c r="M53" s="94"/>
    </row>
    <row r="54" spans="1:13" x14ac:dyDescent="0.2">
      <c r="A54" t="s">
        <v>204</v>
      </c>
      <c r="B54" t="s">
        <v>211</v>
      </c>
      <c r="C54" t="s">
        <v>211</v>
      </c>
      <c r="D54" t="s">
        <v>239</v>
      </c>
      <c r="E54" t="s">
        <v>211</v>
      </c>
      <c r="F54">
        <v>5.4000000000000003E-3</v>
      </c>
      <c r="I54">
        <v>5.8999999999999999E-3</v>
      </c>
      <c r="J54">
        <v>5.7000000000000002E-3</v>
      </c>
      <c r="K54">
        <v>5.7999999999999996E-3</v>
      </c>
      <c r="M54" s="94"/>
    </row>
    <row r="55" spans="1:13" x14ac:dyDescent="0.2">
      <c r="A55" t="s">
        <v>204</v>
      </c>
      <c r="B55" t="s">
        <v>211</v>
      </c>
      <c r="C55" t="s">
        <v>211</v>
      </c>
      <c r="D55" t="s">
        <v>240</v>
      </c>
      <c r="E55" t="s">
        <v>211</v>
      </c>
      <c r="F55">
        <v>3.5999999999999999E-3</v>
      </c>
      <c r="I55">
        <v>3.8999999999999998E-3</v>
      </c>
      <c r="J55">
        <v>3.8E-3</v>
      </c>
      <c r="K55">
        <v>3.8E-3</v>
      </c>
      <c r="M55" s="94"/>
    </row>
    <row r="56" spans="1:13" x14ac:dyDescent="0.2">
      <c r="A56" t="s">
        <v>203</v>
      </c>
      <c r="B56" t="s">
        <v>211</v>
      </c>
      <c r="C56" t="s">
        <v>211</v>
      </c>
      <c r="D56" t="s">
        <v>233</v>
      </c>
      <c r="E56" t="s">
        <v>211</v>
      </c>
      <c r="F56" s="157">
        <v>3081</v>
      </c>
      <c r="I56" s="157">
        <v>3381.7710000000002</v>
      </c>
      <c r="J56" s="157">
        <v>3265.1309999999999</v>
      </c>
      <c r="K56" s="157">
        <v>3300.373</v>
      </c>
    </row>
    <row r="57" spans="1:13" x14ac:dyDescent="0.2">
      <c r="A57" t="s">
        <v>203</v>
      </c>
      <c r="B57" t="s">
        <v>211</v>
      </c>
      <c r="C57" t="s">
        <v>211</v>
      </c>
      <c r="D57" t="s">
        <v>234</v>
      </c>
      <c r="E57" t="s">
        <v>211</v>
      </c>
      <c r="F57" s="157">
        <v>3765.614</v>
      </c>
      <c r="I57" s="157">
        <v>4133.2179999999998</v>
      </c>
      <c r="J57" s="157">
        <v>3990.6610000000001</v>
      </c>
      <c r="K57" s="157">
        <v>4033.7339999999999</v>
      </c>
    </row>
    <row r="58" spans="1:13" x14ac:dyDescent="0.2">
      <c r="A58" t="s">
        <v>203</v>
      </c>
      <c r="B58" t="s">
        <v>211</v>
      </c>
      <c r="C58" t="s">
        <v>211</v>
      </c>
      <c r="D58" t="s">
        <v>235</v>
      </c>
      <c r="E58" t="s">
        <v>211</v>
      </c>
      <c r="F58" s="157">
        <v>1369.346</v>
      </c>
      <c r="I58" s="157">
        <v>1503.0229999999999</v>
      </c>
      <c r="J58" s="157">
        <v>1451.183</v>
      </c>
      <c r="K58" s="157">
        <v>1466.846</v>
      </c>
    </row>
    <row r="59" spans="1:13" x14ac:dyDescent="0.2">
      <c r="A59" t="s">
        <v>203</v>
      </c>
      <c r="B59" t="s">
        <v>211</v>
      </c>
      <c r="C59" t="s">
        <v>211</v>
      </c>
      <c r="D59" t="s">
        <v>236</v>
      </c>
      <c r="E59" t="s">
        <v>211</v>
      </c>
      <c r="F59" s="157">
        <v>1136.107</v>
      </c>
      <c r="I59" s="157">
        <v>1247.0150000000001</v>
      </c>
      <c r="J59" s="157">
        <v>1204.0050000000001</v>
      </c>
      <c r="K59" s="157">
        <v>1217</v>
      </c>
    </row>
    <row r="60" spans="1:13" x14ac:dyDescent="0.2">
      <c r="A60" t="s">
        <v>203</v>
      </c>
      <c r="B60" t="s">
        <v>211</v>
      </c>
      <c r="C60" t="s">
        <v>211</v>
      </c>
      <c r="D60" t="s">
        <v>237</v>
      </c>
      <c r="E60" t="s">
        <v>211</v>
      </c>
      <c r="F60">
        <v>568.05359999999996</v>
      </c>
      <c r="I60">
        <v>623.5077</v>
      </c>
      <c r="J60">
        <v>602.00250000000005</v>
      </c>
      <c r="K60">
        <v>608.50019999999995</v>
      </c>
    </row>
    <row r="61" spans="1:13" x14ac:dyDescent="0.2">
      <c r="A61" t="s">
        <v>203</v>
      </c>
      <c r="B61" t="s">
        <v>211</v>
      </c>
      <c r="C61" t="s">
        <v>211</v>
      </c>
      <c r="D61" t="s">
        <v>238</v>
      </c>
      <c r="E61" t="s">
        <v>211</v>
      </c>
      <c r="F61">
        <v>994.03560000000004</v>
      </c>
      <c r="I61" s="157">
        <v>1091.075</v>
      </c>
      <c r="J61" s="157">
        <v>1053.443</v>
      </c>
      <c r="K61" s="157">
        <v>1064.8130000000001</v>
      </c>
    </row>
    <row r="62" spans="1:13" x14ac:dyDescent="0.2">
      <c r="A62" t="s">
        <v>203</v>
      </c>
      <c r="B62" t="s">
        <v>211</v>
      </c>
      <c r="C62" t="s">
        <v>211</v>
      </c>
      <c r="D62" t="s">
        <v>239</v>
      </c>
      <c r="E62" t="s">
        <v>211</v>
      </c>
      <c r="F62">
        <v>425.98200000000003</v>
      </c>
      <c r="I62">
        <v>467.56700000000001</v>
      </c>
      <c r="J62">
        <v>451.44029999999998</v>
      </c>
      <c r="K62">
        <v>456.31290000000001</v>
      </c>
    </row>
    <row r="63" spans="1:13" x14ac:dyDescent="0.2">
      <c r="A63" t="s">
        <v>203</v>
      </c>
      <c r="B63" t="s">
        <v>211</v>
      </c>
      <c r="C63" t="s">
        <v>211</v>
      </c>
      <c r="D63" t="s">
        <v>240</v>
      </c>
      <c r="E63" t="s">
        <v>211</v>
      </c>
      <c r="F63">
        <v>284.02679999999998</v>
      </c>
      <c r="I63">
        <v>311.75389999999999</v>
      </c>
      <c r="J63">
        <v>301.00130000000001</v>
      </c>
      <c r="K63">
        <v>304.25009999999997</v>
      </c>
    </row>
    <row r="64" spans="1:13" x14ac:dyDescent="0.2">
      <c r="A64" t="s">
        <v>231</v>
      </c>
      <c r="B64" t="s">
        <v>211</v>
      </c>
      <c r="C64" t="s">
        <v>211</v>
      </c>
      <c r="D64" t="s">
        <v>126</v>
      </c>
      <c r="E64" t="s">
        <v>211</v>
      </c>
      <c r="F64">
        <v>4.0820999999999996</v>
      </c>
      <c r="I64">
        <v>4.4805999999999999</v>
      </c>
      <c r="J64">
        <v>4.3261000000000003</v>
      </c>
      <c r="K64">
        <v>4.3727999999999998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42.42578125" style="12" customWidth="1"/>
    <col min="3" max="3" width="28.42578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IFAMN</v>
      </c>
      <c r="C13" s="48" t="str">
        <f>RES!O3</f>
        <v>Industry - Ferro Alloy Metals production</v>
      </c>
      <c r="D13" s="54" t="s">
        <v>117</v>
      </c>
      <c r="E13" s="31" t="s">
        <v>216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292</v>
      </c>
      <c r="C15" s="48" t="s">
        <v>293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204</v>
      </c>
      <c r="C16" s="48" t="s">
        <v>205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42578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ProcData_FM</vt:lpstr>
      <vt:lpstr>ProcData_FM - PAMS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2022-06-23T09:30:30Z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